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MuQ0VhYztwKGYLp0WkVE/6AKjQgAW+LnvaE9XsrB742ZQqVsoGzrzwCoL+Ae1V75wfdl9aofZU+hRdHIkrlhrw==" workbookSaltValue="RHKQ3PAbykRivLSxfo/NQ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U22" i="17"/>
  <c r="X21" i="16"/>
  <c r="BU9" i="17"/>
  <c r="BU19" i="17"/>
  <c r="BW10" i="20"/>
  <c r="BV22" i="16"/>
  <c r="BU12" i="17"/>
  <c r="T14" i="16"/>
  <c r="S25" i="17"/>
  <c r="AZ20"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B16" i="6"/>
  <c r="AY14" i="8"/>
  <c r="I10" i="3"/>
  <c r="E10" i="3"/>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A29" i="16"/>
  <c r="BV9" i="16"/>
  <c r="BW21" i="20"/>
  <c r="BU13" i="17"/>
  <c r="BW28" i="20"/>
  <c r="S21" i="17"/>
  <c r="BW11" i="20"/>
  <c r="BV16" i="16"/>
  <c r="BW17" i="20"/>
  <c r="BU21" i="17"/>
  <c r="BU11" i="17"/>
  <c r="BJ28" i="11"/>
  <c r="AZ9" i="11"/>
  <c r="AZ14" i="11" s="1"/>
  <c r="AZ13" i="11"/>
  <c r="BI19" i="11"/>
  <c r="BI25" i="11"/>
  <c r="BG22" i="11"/>
  <c r="Q18" i="20"/>
  <c r="Q23" i="20" s="1"/>
  <c r="V16" i="11"/>
  <c r="Z14" i="17"/>
  <c r="BD12" i="8"/>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Q12" i="1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<sst xmlns="http://schemas.openxmlformats.org/spreadsheetml/2006/main" count="2654" uniqueCount="1185">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</sst>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Mo19IXxO4tfjWbwjMKIiHmRp4rHm5WANbftEsZSBI3GltNnK9YYAqfVyNqxoOv7o09RYm9QFdySSkYZwTns4Q==" saltValue="qZrOSnKoQtaeBrXomBLg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9.2733409393420807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77</v>
      </c>
      <c r="D10" s="239">
        <f>IF(ISNUMBER(Datos!I10),Datos!I10," - ")</f>
        <v>77</v>
      </c>
      <c r="E10" s="240">
        <f>IF(ISNUMBER(Datos!J10),Datos!J10," - ")</f>
        <v>154</v>
      </c>
      <c r="F10" s="240">
        <f>IF(ISNUMBER(Datos!K10),Datos!K10," - ")</f>
        <v>143</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6.7692307692307701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77</v>
      </c>
      <c r="D14" s="1407">
        <f>SUBTOTAL(9,D9:D13)</f>
        <v>77</v>
      </c>
      <c r="E14" s="1408">
        <f>SUBTOTAL(9,E9:E13)</f>
        <v>154</v>
      </c>
      <c r="F14" s="1409">
        <f>SUBTOTAL(9,F9:F13)</f>
        <v>143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2862</v>
      </c>
      <c r="D16" s="239">
        <f>IF(ISNUMBER(IF(D_I="SI",Datos!I16,Datos!I16+Datos!AC16)),IF(D_I="SI",Datos!I16,Datos!I16+Datos!AC16)," - ")</f>
        <v>2856</v>
      </c>
      <c r="E16" s="240">
        <f>IF(ISNUMBER(IF(D_I="SI",Datos!J16,Datos!J16+Datos!AD16)),IF(D_I="SI",Datos!J16,Datos!J16+Datos!AD16)," - ")</f>
        <v>11257</v>
      </c>
      <c r="F16" s="240">
        <f>IF(ISNUMBER(IF(D_I="SI",Datos!K16,Datos!K16+Datos!AE16)),IF(D_I="SI",Datos!K16,Datos!K16+Datos!AE16)," - ")</f>
        <v>11506</v>
      </c>
      <c r="G16" s="1390" t="str">
        <f>IF(Datos!E16&lt;&gt;"",Datos!E16,Datos!D16)</f>
        <v>03</v>
      </c>
      <c r="H16" s="241">
        <f>IF(ISNUMBER(IF(D_I="SI",Datos!L16,Datos!L16+Datos!AF16)),IF(D_I="SI",Datos!L16,Datos!L16+Datos!AF16)," - ")</f>
        <v>2613</v>
      </c>
      <c r="I16" s="1400" t="str">
        <f>IF(ISNUMBER(Datos!AS16/Datos!BM16),Datos!AS16/Datos!BM16," - ")</f>
        <v xml:space="preserve"> - </v>
      </c>
      <c r="J16" s="1401">
        <f>IF(ISNUMBER(Datos!BY16/Datos!CN16),Datos!BY16/Datos!CN16," - ")</f>
        <v>0</v>
      </c>
      <c r="K16" s="244">
        <f t="shared" ref="K16:K22" si="3">IF(ISNUMBER((E16-F16)/C16),(E16-F16)/C16," - ")</f>
        <v>-8.7002096436058704E-2</v>
      </c>
      <c r="L16" s="1402">
        <f>IF(ISNUMBER(NºAsuntos!I16/NºAsuntos!G16),(NºAsuntos!I16/NºAsuntos!G16)*11," - ")</f>
        <v>2.4980879541108987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9</v>
      </c>
      <c r="I17" s="1400" t="str">
        <f>IF(ISNUMBER(Datos!AS17/Datos!BM17),Datos!AS17/Datos!BM17," - ")</f>
        <v xml:space="preserve"> - </v>
      </c>
      <c r="J17" s="1401">
        <f>IF(ISNUMBER(Datos!BY17/Datos!CN17),Datos!BY17/Datos!CN17," - ")</f>
        <v>0</v>
      </c>
      <c r="K17" s="244">
        <f t="shared" si="3"/>
        <v>-0.1</v>
      </c>
      <c r="L17" s="1402">
        <f>IF(ISNUMBER(NºAsuntos!I17/NºAsuntos!G17),(NºAsuntos!I17/NºAsuntos!G17)*11," - ")</f>
        <v>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89</v>
      </c>
      <c r="D18" s="239">
        <f>IF(ISNUMBER(IF(D_I="SI",Datos!I18,Datos!I18+Datos!AC18)),IF(D_I="SI",Datos!I18,Datos!I18+Datos!AC18)," - ")</f>
        <v>120</v>
      </c>
      <c r="E18" s="240">
        <f>IF(ISNUMBER(IF(D_I="SI",Datos!J18,Datos!J18+Datos!AD18)),IF(D_I="SI",Datos!J18,Datos!J18+Datos!AD18)," - ")</f>
        <v>1079</v>
      </c>
      <c r="F18" s="240">
        <f>IF(ISNUMBER(IF(D_I="SI",Datos!K18,Datos!K18+Datos!AE18)),IF(D_I="SI",Datos!K18,Datos!K18+Datos!AE18)," - ")</f>
        <v>1009</v>
      </c>
      <c r="G18" s="1390" t="str">
        <f>IF(Datos!E18&lt;&gt;"",Datos!E18,Datos!D18)</f>
        <v>37</v>
      </c>
      <c r="H18" s="241">
        <f>IF(ISNUMBER(IF(D_I="SI",Datos!L18,Datos!L18+Datos!AF18)),IF(D_I="SI",Datos!L18,Datos!L18+Datos!AF18)," - ")</f>
        <v>159</v>
      </c>
      <c r="I18" s="1400" t="str">
        <f>IF(ISNUMBER(Datos!AS18/Datos!BM18),Datos!AS18/Datos!BM18," - ")</f>
        <v xml:space="preserve"> - </v>
      </c>
      <c r="J18" s="1401" t="str">
        <f>IF(ISNUMBER((Datos!BY18+Datos!BZ18)/Datos!CN18),(Datos!BY18+Datos!BZ18)/Datos!CN18," - ")</f>
        <v xml:space="preserve"> - </v>
      </c>
      <c r="K18" s="244">
        <f t="shared" si="3"/>
        <v>0.7865168539325843</v>
      </c>
      <c r="L18" s="1402">
        <f>IF(ISNUMBER(NºAsuntos!I18/NºAsuntos!G18),(NºAsuntos!I18/NºAsuntos!G18)*11," - ")</f>
        <v>1.7333994053518336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2961</v>
      </c>
      <c r="D23" s="1407">
        <f>SUBTOTAL(9,D16:D22)</f>
        <v>2986</v>
      </c>
      <c r="E23" s="1408">
        <f>SUBTOTAL(9,E16:E22)</f>
        <v>12336</v>
      </c>
      <c r="F23" s="1408">
        <f>SUBTOTAL(9,F16:F22)</f>
        <v>12516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3038</v>
      </c>
      <c r="D31" s="1435">
        <f>SUBTOTAL(9,D9:D30)</f>
        <v>3063</v>
      </c>
      <c r="E31" s="1436">
        <f>SUBTOTAL(9,E9:E30)</f>
        <v>12490</v>
      </c>
      <c r="F31" s="1436">
        <f>SUBTOTAL(9,F9:F30)</f>
        <v>12659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ImE34wvsSEbmbY2VxqjAIc6A3XoZ4038SgIN723xuSR2xuT3bL3F3nQksrqD5DHM5z/BVZ2gnHEMStMvl9AmOw==" saltValue="0YJfQR4q8rrBuG/xg9PO0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S96/fL/Nxl4BCsafHj7M4SUSJyPT1hIbRmlVNIKUUI7CaO7VWdyzKz0xlOhnCSSOlvf1iHauKyV02VVbM0Uvw==" saltValue="CJdknv95bDn/C3yOYGuz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7676</v>
      </c>
      <c r="J9" s="194">
        <v>11374</v>
      </c>
      <c r="K9" s="194">
        <v>10099</v>
      </c>
      <c r="L9" s="194">
        <v>8674</v>
      </c>
      <c r="M9" s="194">
        <v>2046</v>
      </c>
      <c r="N9" s="194">
        <v>4512</v>
      </c>
      <c r="O9" s="194">
        <v>2886</v>
      </c>
      <c r="P9" s="194">
        <v>2074</v>
      </c>
      <c r="Q9" s="194">
        <v>876</v>
      </c>
      <c r="R9" s="194">
        <v>9747</v>
      </c>
      <c r="S9" s="194">
        <v>6440</v>
      </c>
      <c r="T9" s="194">
        <v>10436</v>
      </c>
      <c r="U9" s="194">
        <v>9200</v>
      </c>
      <c r="V9" s="194">
        <v>7676</v>
      </c>
      <c r="W9" s="194">
        <v>2055</v>
      </c>
      <c r="X9" s="201">
        <v>3794</v>
      </c>
      <c r="Y9" s="204">
        <v>173</v>
      </c>
      <c r="Z9" s="194">
        <v>448</v>
      </c>
      <c r="AA9" s="194">
        <v>419</v>
      </c>
      <c r="AB9" s="194">
        <v>193</v>
      </c>
      <c r="AC9" s="194">
        <v>0</v>
      </c>
      <c r="AD9" s="194">
        <v>0</v>
      </c>
      <c r="AE9" s="194">
        <v>0</v>
      </c>
      <c r="AF9" s="201">
        <v>0</v>
      </c>
      <c r="AG9" s="204">
        <v>128</v>
      </c>
      <c r="AH9" s="194">
        <v>419</v>
      </c>
      <c r="AI9" s="194">
        <v>374</v>
      </c>
      <c r="AJ9" s="205">
        <v>173</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6568</v>
      </c>
      <c r="AZ9" s="133">
        <f>IF(ISNUMBER(IF(J_V="SI",T9,T9+AH9)),IF(J_V="SI",T9,T9+AH9)," - ")</f>
        <v>10855</v>
      </c>
      <c r="BA9" s="134">
        <f>IF(ISNUMBER(IF(J_V="SI",U9,U9+AI9)),IF(J_V="SI",U9,U9+AI9)," - ")</f>
        <v>9574</v>
      </c>
      <c r="BB9" s="134">
        <f>IF(ISNUMBER(IF(J_V="SI",V9,V9+AJ9)),IF(J_V="SI",V9,V9+AJ9)," - ")</f>
        <v>7849</v>
      </c>
      <c r="BC9" s="135">
        <f>IF(ISNUMBER(X9),X9," - ")</f>
        <v>3794</v>
      </c>
      <c r="BD9" s="136">
        <f>IF(ISNUMBER(BA9/AZ9),BA9/AZ9," - ")</f>
        <v>0.88198986642100419</v>
      </c>
      <c r="BE9" s="137">
        <f>IF(ISNUMBER(BB9/BA9),BB9/BA9, " - ")</f>
        <v>0.81982452475454359</v>
      </c>
      <c r="BF9" s="137">
        <f>IF(ISNUMBER(BC9/BA9),BC9/BA9, " - ")</f>
        <v>0.39628159598913726</v>
      </c>
      <c r="BG9" s="209">
        <f>IF(ISNUMBER((AY9+AZ9)/BA9),(AY9+AZ9)/BA9," - ")</f>
        <v>1.8198245247545435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77</v>
      </c>
      <c r="J10" s="194">
        <v>154</v>
      </c>
      <c r="K10" s="194">
        <v>143</v>
      </c>
      <c r="L10" s="194">
        <v>88</v>
      </c>
      <c r="M10" s="194">
        <v>47</v>
      </c>
      <c r="N10" s="194">
        <v>52</v>
      </c>
      <c r="O10" s="194">
        <v>42</v>
      </c>
      <c r="P10" s="194">
        <v>11</v>
      </c>
      <c r="Q10" s="194">
        <v>22</v>
      </c>
      <c r="R10" s="194">
        <v>45</v>
      </c>
      <c r="S10" s="194">
        <v>89</v>
      </c>
      <c r="T10" s="194">
        <v>148</v>
      </c>
      <c r="U10" s="194">
        <v>149</v>
      </c>
      <c r="V10" s="194">
        <v>77</v>
      </c>
      <c r="W10" s="194">
        <v>47</v>
      </c>
      <c r="X10" s="201">
        <v>65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89</v>
      </c>
      <c r="AZ10" s="139">
        <f t="shared" si="0"/>
        <v>148</v>
      </c>
      <c r="BA10" s="139">
        <f t="shared" si="0"/>
        <v>149</v>
      </c>
      <c r="BB10" s="139">
        <f t="shared" si="0"/>
        <v>77</v>
      </c>
      <c r="BC10" s="135">
        <f t="shared" si="0"/>
        <v>47</v>
      </c>
      <c r="BD10" s="136">
        <f>IF(ISNUMBER(BA10/AZ10),BA10/AZ10," - ")</f>
        <v>1.0067567567567568</v>
      </c>
      <c r="BE10" s="137">
        <f>IF(ISNUMBER(BB10/BA10),BB10/BA10, " - ")</f>
        <v>0.51677852348993292</v>
      </c>
      <c r="BF10" s="137">
        <f>IF(ISNUMBER(BC10/BA10),BC10/BA10, " - ")</f>
        <v>0.31543624161073824</v>
      </c>
      <c r="BG10" s="209">
        <f>IF(ISNUMBER((AY10+AZ10)/BA10),(AY10+AZ10)/BA10," - ")</f>
        <v>1.5906040268456376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1078</v>
      </c>
      <c r="J11" s="196" t="s">
        <v>1065</v>
      </c>
      <c r="K11" s="196" t="s">
        <v>1141</v>
      </c>
      <c r="L11" s="196" t="s">
        <v>1083</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v>
      </c>
      <c r="J12" s="196">
        <v>0</v>
      </c>
      <c r="K12" s="196">
        <v>6</v>
      </c>
      <c r="L12" s="196">
        <v>6</v>
      </c>
      <c r="M12" s="196">
        <v>0</v>
      </c>
      <c r="N12" s="196">
        <v>2</v>
      </c>
      <c r="O12" s="194">
        <v>30</v>
      </c>
      <c r="P12" s="196">
        <v>3</v>
      </c>
      <c r="Q12" s="196">
        <v>112</v>
      </c>
      <c r="R12" s="196">
        <v>629</v>
      </c>
      <c r="S12" s="196">
        <v>20</v>
      </c>
      <c r="T12" s="196">
        <v>1</v>
      </c>
      <c r="U12" s="196">
        <v>9</v>
      </c>
      <c r="V12" s="196">
        <v>12</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20</v>
      </c>
      <c r="AZ12" s="137">
        <f t="shared" si="1"/>
        <v>1</v>
      </c>
      <c r="BA12" s="137">
        <f t="shared" si="1"/>
        <v>9</v>
      </c>
      <c r="BB12" s="137">
        <f t="shared" si="1"/>
        <v>12</v>
      </c>
      <c r="BC12" s="135">
        <f>IF(ISNUMBER(X12),X12," - ")</f>
        <v>2</v>
      </c>
      <c r="BD12" s="136">
        <f t="shared" si="2"/>
        <v>9</v>
      </c>
      <c r="BE12" s="137">
        <f t="shared" si="3"/>
        <v>1.3333333333333333</v>
      </c>
      <c r="BF12" s="137">
        <f t="shared" si="4"/>
        <v>0.22222222222222221</v>
      </c>
      <c r="BG12" s="209">
        <f t="shared" si="5"/>
        <v>2.3333333333333335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7765</v>
      </c>
      <c r="J14" s="197">
        <f t="shared" si="7"/>
        <v>11528</v>
      </c>
      <c r="K14" s="197">
        <f t="shared" si="7"/>
        <v>10248</v>
      </c>
      <c r="L14" s="197">
        <f t="shared" si="7"/>
        <v>8768</v>
      </c>
      <c r="M14" s="197">
        <f t="shared" si="7"/>
        <v>2093</v>
      </c>
      <c r="N14" s="197">
        <f t="shared" si="7"/>
        <v>4566</v>
      </c>
      <c r="O14" s="197">
        <f t="shared" si="7"/>
        <v>2958</v>
      </c>
      <c r="P14" s="197">
        <f t="shared" si="7"/>
        <v>2088</v>
      </c>
      <c r="Q14" s="197">
        <f t="shared" si="7"/>
        <v>1010</v>
      </c>
      <c r="R14" s="197">
        <f t="shared" si="7"/>
        <v>10421</v>
      </c>
      <c r="S14" s="197">
        <f t="shared" si="7"/>
        <v>6549</v>
      </c>
      <c r="T14" s="197">
        <f t="shared" si="7"/>
        <v>10585</v>
      </c>
      <c r="U14" s="197">
        <f t="shared" si="7"/>
        <v>9358</v>
      </c>
      <c r="V14" s="197">
        <f t="shared" si="7"/>
        <v>7765</v>
      </c>
      <c r="W14" s="197">
        <f t="shared" si="7"/>
        <v>2102</v>
      </c>
      <c r="X14" s="197">
        <f t="shared" si="7"/>
        <v>3861</v>
      </c>
      <c r="Y14" s="197">
        <f t="shared" si="7"/>
        <v>173</v>
      </c>
      <c r="Z14" s="197">
        <f t="shared" si="7"/>
        <v>448</v>
      </c>
      <c r="AA14" s="197">
        <f t="shared" si="7"/>
        <v>419</v>
      </c>
      <c r="AB14" s="197">
        <f t="shared" si="7"/>
        <v>193</v>
      </c>
      <c r="AC14" s="197">
        <f t="shared" si="7"/>
        <v>0</v>
      </c>
      <c r="AD14" s="197">
        <f t="shared" si="7"/>
        <v>0</v>
      </c>
      <c r="AE14" s="197">
        <f t="shared" si="7"/>
        <v>0</v>
      </c>
      <c r="AF14" s="197">
        <f>SUBTOTAL(9,AF9:AF13)</f>
        <v>0</v>
      </c>
      <c r="AG14" s="197">
        <f t="shared" ref="AG14:AT14" si="8">SUBTOTAL(9,AG8:AG13)</f>
        <v>128</v>
      </c>
      <c r="AH14" s="197">
        <f t="shared" si="8"/>
        <v>419</v>
      </c>
      <c r="AI14" s="197">
        <f t="shared" si="8"/>
        <v>374</v>
      </c>
      <c r="AJ14" s="197">
        <f t="shared" si="8"/>
        <v>173</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6677</v>
      </c>
      <c r="AZ14" s="197">
        <f>SUBTOTAL(9,AZ8:AZ13)</f>
        <v>11004</v>
      </c>
      <c r="BA14" s="197">
        <f>SUBTOTAL(9,BA8:BA13)</f>
        <v>9732</v>
      </c>
      <c r="BB14" s="197">
        <f>SUBTOTAL(9,BB8:BB13)</f>
        <v>7938</v>
      </c>
      <c r="BC14" s="197">
        <f>SUBTOTAL(9,BC8:BC13)</f>
        <v>3843</v>
      </c>
      <c r="BD14" s="219">
        <f>IF(ISNUMBER(BA14/AZ14),BA14/AZ14," - ")</f>
        <v>0.8844056706652127</v>
      </c>
      <c r="BE14" s="220">
        <f>IF(ISNUMBER(BB14/BA14),BB14/BA14, " - ")</f>
        <v>0.81565967940813811</v>
      </c>
      <c r="BF14" s="220">
        <f>IF(ISNUMBER(BC14/BA14),BC14/BA14, " - ")</f>
        <v>0.39488286066584466</v>
      </c>
      <c r="BG14" s="221">
        <f>IF(ISNUMBER((AY14+AZ14)/BA14),(AY14+AZ14)/BA14," - ")</f>
        <v>1.8167899712289355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2856</v>
      </c>
      <c r="J16" s="196">
        <v>11257</v>
      </c>
      <c r="K16" s="196">
        <v>11506</v>
      </c>
      <c r="L16" s="196">
        <v>2613</v>
      </c>
      <c r="M16" s="196">
        <v>1390</v>
      </c>
      <c r="N16" s="196">
        <v>7476</v>
      </c>
      <c r="O16" s="194">
        <v>47</v>
      </c>
      <c r="P16" s="196">
        <v>421</v>
      </c>
      <c r="Q16" s="196">
        <v>349</v>
      </c>
      <c r="R16" s="196">
        <v>360</v>
      </c>
      <c r="S16" s="196">
        <v>3232</v>
      </c>
      <c r="T16" s="196">
        <v>11002</v>
      </c>
      <c r="U16" s="196">
        <v>11378</v>
      </c>
      <c r="V16" s="196">
        <v>2856</v>
      </c>
      <c r="W16" s="196">
        <v>1362</v>
      </c>
      <c r="X16" s="202">
        <v>7916</v>
      </c>
      <c r="Y16" s="215">
        <v>0</v>
      </c>
      <c r="Z16" s="196">
        <v>0</v>
      </c>
      <c r="AA16" s="196">
        <v>0</v>
      </c>
      <c r="AB16" s="196">
        <v>0</v>
      </c>
      <c r="AC16" s="196">
        <v>0</v>
      </c>
      <c r="AD16" s="196">
        <v>212</v>
      </c>
      <c r="AE16" s="196">
        <v>212</v>
      </c>
      <c r="AF16" s="202">
        <v>0</v>
      </c>
      <c r="AG16" s="215">
        <v>0</v>
      </c>
      <c r="AH16" s="196">
        <v>0</v>
      </c>
      <c r="AI16" s="196">
        <v>0</v>
      </c>
      <c r="AJ16" s="216">
        <v>0</v>
      </c>
      <c r="AK16" s="195">
        <v>0</v>
      </c>
      <c r="AL16" s="196">
        <v>78</v>
      </c>
      <c r="AM16" s="196">
        <v>78</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3232</v>
      </c>
      <c r="AZ16" s="139">
        <f t="shared" si="10"/>
        <v>11002</v>
      </c>
      <c r="BA16" s="139">
        <f t="shared" si="10"/>
        <v>11378</v>
      </c>
      <c r="BB16" s="139">
        <f t="shared" si="10"/>
        <v>2856</v>
      </c>
      <c r="BC16" s="135">
        <f>IF(ISNUMBER(W16),W16," - ")</f>
        <v>1362</v>
      </c>
      <c r="BD16" s="136">
        <f>IF(ISNUMBER(BA16/AZ16),BA16/AZ16," - ")</f>
        <v>1.0341756044355572</v>
      </c>
      <c r="BE16" s="137">
        <f>IF(ISNUMBER(BB16/BA16),BB16/BA16, " - ")</f>
        <v>0.25101072244682721</v>
      </c>
      <c r="BF16" s="137">
        <f>IF(ISNUMBER(BC16/BA16),BC16/BA16, " - ")</f>
        <v>0.11970469326770962</v>
      </c>
      <c r="BG16" s="209">
        <f t="shared" ref="BG16:BG22" si="11">IF(ISNUMBER((AY16+AZ16)/BA16),(AY16+AZ16)/BA16," - ")</f>
        <v>1.2510107224468272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1</v>
      </c>
      <c r="L17" s="196">
        <v>9</v>
      </c>
      <c r="M17" s="196">
        <v>0</v>
      </c>
      <c r="N17" s="196">
        <v>1</v>
      </c>
      <c r="O17" s="194">
        <v>0</v>
      </c>
      <c r="P17" s="196">
        <v>0</v>
      </c>
      <c r="Q17" s="196">
        <v>0</v>
      </c>
      <c r="R17" s="196">
        <v>2</v>
      </c>
      <c r="S17" s="196">
        <v>13</v>
      </c>
      <c r="T17" s="196">
        <v>0</v>
      </c>
      <c r="U17" s="196">
        <v>4</v>
      </c>
      <c r="V17" s="196">
        <v>10</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13</v>
      </c>
      <c r="AZ17" s="137">
        <f t="shared" si="10"/>
        <v>0</v>
      </c>
      <c r="BA17" s="137">
        <f t="shared" si="10"/>
        <v>4</v>
      </c>
      <c r="BB17" s="137">
        <f t="shared" si="10"/>
        <v>10</v>
      </c>
      <c r="BC17" s="135">
        <f>IF(ISNUMBER(W17),W17," - ")</f>
        <v>0</v>
      </c>
      <c r="BD17" s="136" t="str">
        <f t="shared" ref="BD17:BD22" si="12">IF(ISNUMBER(BA17/AZ17),BA17/AZ17," - ")</f>
        <v xml:space="preserve"> - </v>
      </c>
      <c r="BE17" s="137">
        <f t="shared" ref="BE17:BE22" si="13">IF(ISNUMBER(BB17/BA17),BB17/BA17, " - ")</f>
        <v>2.5</v>
      </c>
      <c r="BF17" s="137">
        <f t="shared" ref="BF17:BF22" si="14">IF(ISNUMBER(BC17/BA17),BC17/BA17, " - ")</f>
        <v>0</v>
      </c>
      <c r="BG17" s="209">
        <f t="shared" si="11"/>
        <v>3.25</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1079</v>
      </c>
      <c r="K18" s="196">
        <v>1009</v>
      </c>
      <c r="L18" s="196">
        <v>159</v>
      </c>
      <c r="M18" s="196">
        <v>247</v>
      </c>
      <c r="N18" s="196">
        <v>663</v>
      </c>
      <c r="O18" s="196">
        <v>51</v>
      </c>
      <c r="P18" s="196">
        <v>58</v>
      </c>
      <c r="Q18" s="196">
        <v>51</v>
      </c>
      <c r="R18" s="196">
        <v>37</v>
      </c>
      <c r="S18" s="196">
        <v>95</v>
      </c>
      <c r="T18" s="196">
        <v>915</v>
      </c>
      <c r="U18" s="196">
        <v>908</v>
      </c>
      <c r="V18" s="196">
        <v>120</v>
      </c>
      <c r="W18" s="196">
        <v>241</v>
      </c>
      <c r="X18" s="202">
        <v>456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95</v>
      </c>
      <c r="AZ18" s="139">
        <f t="shared" si="15"/>
        <v>915</v>
      </c>
      <c r="BA18" s="139">
        <f t="shared" si="15"/>
        <v>908</v>
      </c>
      <c r="BB18" s="139">
        <f t="shared" si="15"/>
        <v>120</v>
      </c>
      <c r="BC18" s="135">
        <f>IF(ISNUMBER(W18),W18," - ")</f>
        <v>241</v>
      </c>
      <c r="BD18" s="136">
        <f>IF(ISNUMBER(BA18/AZ18),BA18/AZ18," - ")</f>
        <v>0.99234972677595623</v>
      </c>
      <c r="BE18" s="137">
        <f>IF(ISNUMBER(BB18/BA18),BB18/BA18, " - ")</f>
        <v>0.13215859030837004</v>
      </c>
      <c r="BF18" s="137">
        <f>IF(ISNUMBER(BC18/BA18),BC18/BA18, " - ")</f>
        <v>0.26541850220264318</v>
      </c>
      <c r="BG18" s="209">
        <f>IF(ISNUMBER((AY18+AZ18)/BA18),(AY18+AZ18)/BA18," - ")</f>
        <v>1.1123348017621146</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2986</v>
      </c>
      <c r="J23" s="197">
        <f t="shared" si="21"/>
        <v>12336</v>
      </c>
      <c r="K23" s="197">
        <f t="shared" si="21"/>
        <v>12516</v>
      </c>
      <c r="L23" s="197">
        <f t="shared" si="21"/>
        <v>2781</v>
      </c>
      <c r="M23" s="197">
        <f t="shared" si="21"/>
        <v>1637</v>
      </c>
      <c r="N23" s="197">
        <f t="shared" si="21"/>
        <v>8140</v>
      </c>
      <c r="O23" s="197">
        <f t="shared" si="21"/>
        <v>98</v>
      </c>
      <c r="P23" s="197">
        <f t="shared" si="21"/>
        <v>479</v>
      </c>
      <c r="Q23" s="197">
        <f t="shared" si="21"/>
        <v>400</v>
      </c>
      <c r="R23" s="197">
        <f t="shared" si="21"/>
        <v>399</v>
      </c>
      <c r="S23" s="197">
        <f t="shared" si="21"/>
        <v>3340</v>
      </c>
      <c r="T23" s="197">
        <f t="shared" si="21"/>
        <v>11917</v>
      </c>
      <c r="U23" s="197">
        <f t="shared" si="21"/>
        <v>12290</v>
      </c>
      <c r="V23" s="197">
        <f t="shared" si="21"/>
        <v>2986</v>
      </c>
      <c r="W23" s="197">
        <f t="shared" si="21"/>
        <v>1603</v>
      </c>
      <c r="X23" s="197">
        <f t="shared" si="21"/>
        <v>8373</v>
      </c>
      <c r="Y23" s="197">
        <f t="shared" si="21"/>
        <v>0</v>
      </c>
      <c r="Z23" s="197">
        <f t="shared" si="21"/>
        <v>0</v>
      </c>
      <c r="AA23" s="197">
        <f t="shared" si="21"/>
        <v>0</v>
      </c>
      <c r="AB23" s="197">
        <f t="shared" si="21"/>
        <v>0</v>
      </c>
      <c r="AC23" s="197">
        <f t="shared" si="21"/>
        <v>0</v>
      </c>
      <c r="AD23" s="197">
        <f t="shared" si="21"/>
        <v>212</v>
      </c>
      <c r="AE23" s="197">
        <f t="shared" si="21"/>
        <v>212</v>
      </c>
      <c r="AF23" s="197">
        <f t="shared" si="21"/>
        <v>0</v>
      </c>
      <c r="AG23" s="197">
        <f t="shared" si="21"/>
        <v>0</v>
      </c>
      <c r="AH23" s="197">
        <f t="shared" si="21"/>
        <v>0</v>
      </c>
      <c r="AI23" s="197">
        <f t="shared" si="21"/>
        <v>0</v>
      </c>
      <c r="AJ23" s="197">
        <f t="shared" si="21"/>
        <v>0</v>
      </c>
      <c r="AK23" s="197">
        <f t="shared" si="21"/>
        <v>0</v>
      </c>
      <c r="AL23" s="197">
        <f t="shared" si="21"/>
        <v>78</v>
      </c>
      <c r="AM23" s="197">
        <f t="shared" si="21"/>
        <v>78</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3340</v>
      </c>
      <c r="AZ23" s="197">
        <f>SUBTOTAL(9,AZ15:AZ22)</f>
        <v>11917</v>
      </c>
      <c r="BA23" s="197">
        <f>SUBTOTAL(9,BA15:BA22)</f>
        <v>12290</v>
      </c>
      <c r="BB23" s="197">
        <f>SUBTOTAL(9,BB15:BB22)</f>
        <v>2986</v>
      </c>
      <c r="BC23" s="197">
        <f>SUBTOTAL(9,BC15:BC22)</f>
        <v>1603</v>
      </c>
      <c r="BD23" s="219">
        <f>IF(ISNUMBER(BA23/AZ23),BA23/AZ23," - ")</f>
        <v>1.031299823781153</v>
      </c>
      <c r="BE23" s="220">
        <f>IF(ISNUMBER(BB23/BA23),BB23/BA23, " - ")</f>
        <v>0.24296175752644428</v>
      </c>
      <c r="BF23" s="220">
        <f>IF(ISNUMBER(BC23/BA23),BC23/BA23, " - ")</f>
        <v>0.13043124491456468</v>
      </c>
      <c r="BG23" s="221">
        <f>IF(ISNUMBER((AY23+AZ23)/BA23),(AY23+AZ23)/BA23," - ")</f>
        <v>1.2414157851912124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10751</v>
      </c>
      <c r="J31" s="144">
        <f t="shared" si="36"/>
        <v>23864</v>
      </c>
      <c r="K31" s="144">
        <f t="shared" si="36"/>
        <v>22764</v>
      </c>
      <c r="L31" s="144">
        <f t="shared" si="36"/>
        <v>11549</v>
      </c>
      <c r="M31" s="144">
        <f t="shared" si="36"/>
        <v>3730</v>
      </c>
      <c r="N31" s="144">
        <f t="shared" si="36"/>
        <v>12706</v>
      </c>
      <c r="O31" s="144">
        <f t="shared" si="36"/>
        <v>3056</v>
      </c>
      <c r="P31" s="144">
        <f t="shared" si="36"/>
        <v>2567</v>
      </c>
      <c r="Q31" s="144">
        <f t="shared" si="36"/>
        <v>1410</v>
      </c>
      <c r="R31" s="144">
        <f t="shared" si="36"/>
        <v>10820</v>
      </c>
      <c r="S31" s="144">
        <f t="shared" si="36"/>
        <v>9889</v>
      </c>
      <c r="T31" s="144">
        <f t="shared" si="36"/>
        <v>22502</v>
      </c>
      <c r="U31" s="144">
        <f t="shared" si="36"/>
        <v>21648</v>
      </c>
      <c r="V31" s="144">
        <f t="shared" si="36"/>
        <v>10751</v>
      </c>
      <c r="W31" s="144">
        <f t="shared" si="36"/>
        <v>3705</v>
      </c>
      <c r="X31" s="144">
        <f t="shared" si="36"/>
        <v>12234</v>
      </c>
      <c r="Y31" s="144">
        <f t="shared" si="36"/>
        <v>173</v>
      </c>
      <c r="Z31" s="144">
        <f t="shared" si="36"/>
        <v>448</v>
      </c>
      <c r="AA31" s="144">
        <f t="shared" si="36"/>
        <v>419</v>
      </c>
      <c r="AB31" s="144">
        <f t="shared" si="36"/>
        <v>193</v>
      </c>
      <c r="AC31" s="144">
        <f t="shared" si="36"/>
        <v>0</v>
      </c>
      <c r="AD31" s="144">
        <f t="shared" si="36"/>
        <v>212</v>
      </c>
      <c r="AE31" s="144">
        <f t="shared" si="36"/>
        <v>212</v>
      </c>
      <c r="AF31" s="144">
        <f t="shared" si="36"/>
        <v>0</v>
      </c>
      <c r="AG31" s="144">
        <f t="shared" si="36"/>
        <v>128</v>
      </c>
      <c r="AH31" s="144">
        <f t="shared" si="36"/>
        <v>419</v>
      </c>
      <c r="AI31" s="144">
        <f t="shared" si="36"/>
        <v>374</v>
      </c>
      <c r="AJ31" s="144">
        <f t="shared" si="36"/>
        <v>173</v>
      </c>
      <c r="AK31" s="144">
        <f t="shared" si="36"/>
        <v>0</v>
      </c>
      <c r="AL31" s="144">
        <f t="shared" si="36"/>
        <v>78</v>
      </c>
      <c r="AM31" s="144">
        <f t="shared" si="36"/>
        <v>78</v>
      </c>
      <c r="AN31" s="224">
        <f t="shared" si="36"/>
        <v>0</v>
      </c>
      <c r="AO31" s="225">
        <v>9</v>
      </c>
      <c r="AP31" s="225">
        <v>9</v>
      </c>
      <c r="AQ31" s="225">
        <v>9</v>
      </c>
      <c r="AR31" s="225">
        <v>9</v>
      </c>
      <c r="AS31" s="166">
        <f t="shared" si="36"/>
        <v>0</v>
      </c>
      <c r="AT31" s="166">
        <f t="shared" si="36"/>
        <v>0</v>
      </c>
      <c r="AU31" s="225"/>
      <c r="AV31" s="226"/>
      <c r="AW31" s="225"/>
      <c r="AX31" s="226"/>
      <c r="AY31" s="143">
        <f>SUBTOTAL(9,AY9:AY30)</f>
        <v>10017</v>
      </c>
      <c r="AZ31" s="144">
        <f>SUBTOTAL(9,AZ9:AZ30)</f>
        <v>22921</v>
      </c>
      <c r="BA31" s="144">
        <f>SUBTOTAL(9,BA9:BA30)</f>
        <v>22022</v>
      </c>
      <c r="BB31" s="144">
        <f>SUBTOTAL(9,BB9:BB30)</f>
        <v>10924</v>
      </c>
      <c r="BC31" s="145">
        <f>SUBTOTAL(9,BC9:BC30)</f>
        <v>5446</v>
      </c>
      <c r="BD31" s="227">
        <f>IF(ISNUMBER(BA31/AZ31),BA31/AZ31," - ")</f>
        <v>0.96077832555298637</v>
      </c>
      <c r="BE31" s="224">
        <f>IF(ISNUMBER(BB31/BA31),BB31/BA31, " - ")</f>
        <v>0.4960494051403142</v>
      </c>
      <c r="BF31" s="224">
        <f>IF(ISNUMBER(BC31/BA31),BC31/BA31, " - ")</f>
        <v>0.24729815638906549</v>
      </c>
      <c r="BG31" s="145">
        <f>IF(ISNUMBER((AY31+AZ31)/BA31),(AY31+AZ31)/BA31," - ")</f>
        <v>1.4956861320497685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8+G0J6eXTHl31SGgxgtCDJZaR9VuR7Kyupw7yWpxRsZ/n3uWSLdzszFvi0d0IfjthchSEdOqfd0qA4Xyy3Ew==" saltValue="UzV7JU0tIZ6TSASVmQUi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TdFTTNEOf4YQl4JXlxpCRv1/8ChRpIEe/XZc0NVUqnm5OAPQPHyNs2BStIJ+8j4V4F2jU9YEjkUU0OO5pFF0w==" saltValue="clITAj4c9JwJcD44fVjq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 BARTOLOME DE TIRAJANA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448</v>
      </c>
      <c r="O9" s="549"/>
      <c r="P9" s="549"/>
      <c r="Q9" s="547">
        <f>IF(ISNUMBER(Datos!P9),Datos!P9,0)</f>
        <v>2074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876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193</v>
      </c>
      <c r="AI9" s="549" t="str">
        <f>IF(ISNUMBER(Datos!CD9),Datos!CD9,"-")</f>
        <v>-</v>
      </c>
      <c r="AJ9" s="549" t="str">
        <f>IF(ISNUMBER(Datos!EN9),Datos!EN9," - ")</f>
        <v xml:space="preserve"> - </v>
      </c>
      <c r="AK9" s="549"/>
      <c r="AL9" s="550"/>
      <c r="AM9" s="766">
        <f>IF(ISNUMBER(Datos!R9),Datos!R9," - ")</f>
        <v>9747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2046</v>
      </c>
      <c r="BD9" s="693">
        <f>IF(ISNUMBER(Datos!N9),Datos!N9," - ")</f>
        <v>4512</v>
      </c>
      <c r="BE9" s="693" t="str">
        <f>IF(ISNUMBER(Datos!BW9),Datos!BW9," - ")</f>
        <v xml:space="preserve"> - </v>
      </c>
      <c r="BF9" s="762" t="str">
        <f>IF(ISNUMBER(Datos!BX9),Datos!BX9," - ")</f>
        <v xml:space="preserve"> - </v>
      </c>
      <c r="BG9" s="763">
        <f>IF(ISNUMBER(IF(J_V="SI",Datos!K9/Datos!J9,(Datos!K9+Datos!AA9)/(Datos!J9+Datos!Z9))),IF(J_V="SI",Datos!K9/Datos!J9,(Datos!K9+Datos!AA9)/(Datos!J9+Datos!Z9))," - ")</f>
        <v>0.88969717475892407</v>
      </c>
      <c r="BH9" s="764">
        <f>IF(ISNUMBER(((IF(J_V="SI",Datos!L9/Datos!K9,(Datos!L9+Datos!AB9)/(Datos!K9+Datos!AA9)))*11)/factor_trimestre),((IF(J_V="SI",Datos!L9/Datos!K9,(Datos!L9+Datos!AB9)/(Datos!K9+Datos!AA9)))*11)/factor_trimestre," - ")</f>
        <v>9.2733409393420807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0.14013334892969939</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77</v>
      </c>
      <c r="G10" s="543">
        <f>IF(ISNUMBER(Datos!I10),Datos!I10," - ")</f>
        <v>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143</v>
      </c>
      <c r="AC10" s="547">
        <f>IF(ISNUMBER(Datos!Q10),Datos!Q10," - ")</f>
        <v>22</v>
      </c>
      <c r="AD10" s="549"/>
      <c r="AE10" s="563"/>
      <c r="AF10" s="551">
        <f>IF(ISNUMBER(Datos!L10),Datos!L10,"-")</f>
        <v>88</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47</v>
      </c>
      <c r="BD10" s="693">
        <f>IF(ISNUMBER(Datos!N10),Datos!N10," - ")</f>
        <v>52</v>
      </c>
      <c r="BE10" s="693" t="str">
        <f>IF(ISNUMBER(Datos!BW10),Datos!BW10," - ")</f>
        <v xml:space="preserve"> - </v>
      </c>
      <c r="BF10" s="762" t="str">
        <f>IF(ISNUMBER(Datos!BX10),Datos!BX10," - ")</f>
        <v xml:space="preserve"> - </v>
      </c>
      <c r="BG10" s="763">
        <f>IF(ISNUMBER(Datos!K10/Datos!J10),Datos!K10/Datos!J10," - ")</f>
        <v>0.9285714285714286</v>
      </c>
      <c r="BH10" s="764">
        <f>IF(ISNUMBER(((Datos!L10/Datos!K10)*11)/factor_trimestre),((Datos!L10/Datos!K10)*11)/factor_trimestre," - ")</f>
        <v>6.7692307692307701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-0.19642857142857142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-0.14769647696476965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77</v>
      </c>
      <c r="G14" s="1197">
        <f t="shared" si="1"/>
        <v>77</v>
      </c>
      <c r="H14" s="1198">
        <f t="shared" si="1"/>
        <v>0</v>
      </c>
      <c r="I14" s="1197">
        <f t="shared" si="1"/>
        <v>0</v>
      </c>
      <c r="J14" s="1164">
        <f t="shared" si="1"/>
        <v>0</v>
      </c>
      <c r="K14" s="1164">
        <f t="shared" si="1"/>
        <v>0</v>
      </c>
      <c r="L14" s="1198">
        <f t="shared" si="1"/>
        <v>0</v>
      </c>
      <c r="M14" s="1198">
        <f t="shared" si="1"/>
        <v>0</v>
      </c>
      <c r="N14" s="1198">
        <f t="shared" si="1"/>
        <v>448</v>
      </c>
      <c r="O14" s="1199">
        <f t="shared" si="1"/>
        <v>0</v>
      </c>
      <c r="P14" s="1199">
        <f t="shared" si="1"/>
        <v>0</v>
      </c>
      <c r="Q14" s="1198">
        <f t="shared" si="1"/>
        <v>2088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143</v>
      </c>
      <c r="AC14" s="1198">
        <f t="shared" si="2"/>
        <v>1010</v>
      </c>
      <c r="AD14" s="1198">
        <f t="shared" si="2"/>
        <v>0</v>
      </c>
      <c r="AE14" s="1198">
        <f t="shared" si="2"/>
        <v>0</v>
      </c>
      <c r="AF14" s="1198">
        <f t="shared" si="2"/>
        <v>88</v>
      </c>
      <c r="AG14" s="1198">
        <f t="shared" si="2"/>
        <v>0</v>
      </c>
      <c r="AH14" s="1198">
        <f t="shared" si="2"/>
        <v>193</v>
      </c>
      <c r="AI14" s="1198">
        <f t="shared" si="2"/>
        <v>0</v>
      </c>
      <c r="AJ14" s="1198">
        <f t="shared" si="2"/>
        <v>0</v>
      </c>
      <c r="AK14" s="1198">
        <f t="shared" si="2"/>
        <v>0</v>
      </c>
      <c r="AL14" s="1198">
        <f t="shared" si="2"/>
        <v>0</v>
      </c>
      <c r="AM14" s="1198">
        <f t="shared" si="2"/>
        <v>10421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2093</v>
      </c>
      <c r="BD14" s="1198">
        <f t="shared" si="2"/>
        <v>4566</v>
      </c>
      <c r="BE14" s="1198">
        <f t="shared" si="2"/>
        <v>0</v>
      </c>
      <c r="BF14" s="1198">
        <f t="shared" si="2"/>
        <v>0</v>
      </c>
      <c r="BG14" s="1198">
        <f>IF(ISNUMBER(Datos!K14/Datos!J14),Datos!K14/Datos!J14," - ")</f>
        <v>0.88896599583622482</v>
      </c>
      <c r="BH14" s="1202">
        <f>IF(ISNUMBER(((Datos!L14/Datos!K14)*11)/factor_trimestre),((Datos!L14/Datos!K14)*11)/factor_trimestre," - ")</f>
        <v>9.4113973458235751</v>
      </c>
      <c r="BI14" s="1198">
        <f>IF(ISNUMBER('Resol  Asuntos'!D14/NºAsuntos!G14),'Resol  Asuntos'!D14/NºAsuntos!G14," - ")</f>
        <v>0.19621261835567638</v>
      </c>
      <c r="BJ14" s="1198" t="str">
        <f>IF(ISNUMBER(Datos!CI14/Datos!CJ14),Datos!CI14/Datos!CJ14," - ")</f>
        <v xml:space="preserve"> - </v>
      </c>
      <c r="BK14" s="1198">
        <f>SUBTOTAL(9,BK8:BK13)</f>
        <v>0</v>
      </c>
      <c r="BL14" s="1198">
        <f>IF(ISNUMBER((I14-AB14+L14)/(F14)),(I14-AB14+L14)/(F14)," - ")</f>
        <v>-1.8571428571428572</v>
      </c>
      <c r="BM14" s="1203">
        <f>SUBTOTAL(9,BM9:BM13)</f>
        <v>-0.20399169946364168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2862</v>
      </c>
      <c r="G16" s="743">
        <f>IF(ISNUMBER(IF(D_I="SI",Datos!I16,Datos!I16+Datos!AC16)),IF(D_I="SI",Datos!I16,Datos!I16+Datos!AC16)," - ")</f>
        <v>2856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421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11506</v>
      </c>
      <c r="AC16" s="240">
        <f>IF(ISNUMBER(Datos!Q16),Datos!Q16," - ")</f>
        <v>349</v>
      </c>
      <c r="AD16" s="374"/>
      <c r="AE16" s="562"/>
      <c r="AF16" s="741">
        <f>IF(ISNUMBER(IF(D_I="SI",Datos!L16,Datos!L16+Datos!AF16)),IF(D_I="SI",Datos!L16,Datos!L16+Datos!AF16)," - ")</f>
        <v>2613</v>
      </c>
      <c r="AG16" s="374"/>
      <c r="AH16" s="374"/>
      <c r="AI16" s="374"/>
      <c r="AJ16" s="549"/>
      <c r="AK16" s="374"/>
      <c r="AL16" s="545"/>
      <c r="AM16" s="375">
        <f>IF(ISNUMBER(Datos!R16),Datos!R16," - ")</f>
        <v>360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1390</v>
      </c>
      <c r="BD16" s="243">
        <f>IF(ISNUMBER(Datos!N16),Datos!N16," - ")</f>
        <v>7476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1.0221195700453052</v>
      </c>
      <c r="BH16" s="764">
        <f>IF(ISNUMBER(((IF(D_I="SI",Datos!L16/Datos!K16,(Datos!L16+Datos!AF16)/(Datos!K16+Datos!AE16)))*11)/factor_trimestre),((IF(D_I="SI",Datos!L16/Datos!K16,(Datos!L16+Datos!AF16)/(Datos!K16+Datos!AE16)))*11)/factor_trimestre," - ")</f>
        <v>2.4980879541108987</v>
      </c>
      <c r="BI16" s="266">
        <f>IF(ISNUMBER('Resol  Asuntos'!D16/NºAsuntos!G16),'Resol  Asuntos'!D16/NºAsuntos!G16," - ")</f>
        <v>0.12080653572049366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9</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99</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1009</v>
      </c>
      <c r="AC18" s="547">
        <f>IF(ISNUMBER(Datos!Q18),Datos!Q18," - ")</f>
        <v>51</v>
      </c>
      <c r="AD18" s="549"/>
      <c r="AE18" s="562"/>
      <c r="AF18" s="551">
        <f>IF(ISNUMBER(Datos!L18),Datos!L18,"-")</f>
        <v>159</v>
      </c>
      <c r="AG18" s="549"/>
      <c r="AH18" s="549"/>
      <c r="AI18" s="549"/>
      <c r="AJ18" s="549"/>
      <c r="AK18" s="549"/>
      <c r="AL18" s="550"/>
      <c r="AM18" s="766">
        <f>IF(ISNUMBER(Datos!R18),Datos!R18," - ")</f>
        <v>37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247</v>
      </c>
      <c r="BD18" s="693">
        <f>IF(ISNUMBER(Datos!N18),Datos!N18," - ")</f>
        <v>663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0.93512511584800739</v>
      </c>
      <c r="BH18" s="764">
        <f>IF(ISNUMBER(((IF(D_I="SI",Datos!L18/Datos!K18,(Datos!L18+Datos!AF18)/(Datos!K18+Datos!AE18)))*11)/factor_trimestre),((IF(D_I="SI",Datos!L18/Datos!K18,(Datos!L18+Datos!AF18)/(Datos!K18+Datos!AE18)))*11)/factor_trimestre," - ")</f>
        <v>1.7333994053518336</v>
      </c>
      <c r="BI18" s="763">
        <f>IF(ISNUMBER('Resol  Asuntos'!D18/NºAsuntos!G18),'Resol  Asuntos'!D18/NºAsuntos!G18," - ")</f>
        <v>0.24479682854311199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2872</v>
      </c>
      <c r="G23" s="1197">
        <f>SUBTOTAL(9,G16:G22)</f>
        <v>2986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12516</v>
      </c>
      <c r="AC23" s="1198">
        <f t="shared" si="5"/>
        <v>400</v>
      </c>
      <c r="AD23" s="1198">
        <f t="shared" si="5"/>
        <v>0</v>
      </c>
      <c r="AE23" s="1198">
        <f t="shared" si="5"/>
        <v>0</v>
      </c>
      <c r="AF23" s="1198">
        <f t="shared" si="5"/>
        <v>2781</v>
      </c>
      <c r="AG23" s="1198">
        <f t="shared" si="5"/>
        <v>0</v>
      </c>
      <c r="AH23" s="1198">
        <f t="shared" si="5"/>
        <v>0</v>
      </c>
      <c r="AI23" s="1198">
        <f t="shared" si="5"/>
        <v>0</v>
      </c>
      <c r="AJ23" s="1198">
        <f t="shared" si="5"/>
        <v>0</v>
      </c>
      <c r="AK23" s="1198">
        <f t="shared" si="5"/>
        <v>0</v>
      </c>
      <c r="AL23" s="1198">
        <f t="shared" si="5"/>
        <v>0</v>
      </c>
      <c r="AM23" s="1198">
        <f t="shared" si="5"/>
        <v>399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1637</v>
      </c>
      <c r="BD23" s="1198">
        <f t="shared" si="5"/>
        <v>8140</v>
      </c>
      <c r="BE23" s="1198">
        <f t="shared" si="5"/>
        <v>0</v>
      </c>
      <c r="BF23" s="1198">
        <f t="shared" si="5"/>
        <v>0</v>
      </c>
      <c r="BG23" s="1198">
        <f>IF(ISNUMBER(Datos!K23/Datos!J23),Datos!K23/Datos!J23," - ")</f>
        <v>1.0145914396887159</v>
      </c>
      <c r="BH23" s="1202">
        <f>IF(ISNUMBER(((Datos!L23/Datos!K23)*11)/factor_trimestre),((Datos!L23/Datos!K23)*11)/factor_trimestre," - ")</f>
        <v>2.4441514860977946</v>
      </c>
      <c r="BI23" s="1198">
        <f>SUBTOTAL(9,BI16:BI22)</f>
        <v>0.36560336426360562</v>
      </c>
      <c r="BJ23" s="1198">
        <f>SUBTOTAL(9,BJ16:BJ22)</f>
        <v>0</v>
      </c>
      <c r="BK23" s="1198">
        <f>SUBTOTAL(9,BK16:BK22)</f>
        <v>0</v>
      </c>
      <c r="BL23" s="1198">
        <f>IF(ISNUMBER((I23-AB23+L23)/(F23)),(I23-AB23+L23)/(F23)," - ")</f>
        <v>-4.357938718662953</v>
      </c>
      <c r="BM23" s="1205">
        <f>IF(ISNUMBER((Datos!P23-Datos!Q23)/(Datos!R23-Datos!P23+Datos!Q23)),(Datos!P23-Datos!Q23)/(Datos!R23-Datos!P23+Datos!Q23)," - ")</f>
        <v>0.24687500000000001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2949</v>
      </c>
      <c r="G31" s="1117">
        <f t="shared" si="18"/>
        <v>3063</v>
      </c>
      <c r="H31" s="1119">
        <f t="shared" si="18"/>
        <v>0</v>
      </c>
      <c r="I31" s="1117">
        <f t="shared" si="18"/>
        <v>0</v>
      </c>
      <c r="J31" s="1119">
        <f t="shared" si="18"/>
        <v>0</v>
      </c>
      <c r="K31" s="1119">
        <f t="shared" si="18"/>
        <v>0</v>
      </c>
      <c r="L31" s="1180">
        <f t="shared" si="18"/>
        <v>0</v>
      </c>
      <c r="M31" s="1180">
        <f t="shared" si="18"/>
        <v>0</v>
      </c>
      <c r="N31" s="1180">
        <f t="shared" si="18"/>
        <v>448</v>
      </c>
      <c r="O31" s="1180">
        <f t="shared" si="18"/>
        <v>0</v>
      </c>
      <c r="P31" s="1180">
        <f t="shared" si="18"/>
        <v>0</v>
      </c>
      <c r="Q31" s="1119">
        <f t="shared" si="18"/>
        <v>2567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12659</v>
      </c>
      <c r="AC31" s="1118">
        <f t="shared" si="19"/>
        <v>1410</v>
      </c>
      <c r="AD31" s="1118">
        <f t="shared" si="19"/>
        <v>0</v>
      </c>
      <c r="AE31" s="1118">
        <f t="shared" si="19"/>
        <v>0</v>
      </c>
      <c r="AF31" s="1125">
        <f t="shared" si="19"/>
        <v>2869</v>
      </c>
      <c r="AG31" s="1125">
        <f t="shared" si="19"/>
        <v>0</v>
      </c>
      <c r="AH31" s="1125">
        <f t="shared" si="19"/>
        <v>193</v>
      </c>
      <c r="AI31" s="1125">
        <f t="shared" si="19"/>
        <v>0</v>
      </c>
      <c r="AJ31" s="1118">
        <f t="shared" si="19"/>
        <v>0</v>
      </c>
      <c r="AK31" s="1125">
        <f t="shared" si="19"/>
        <v>0</v>
      </c>
      <c r="AL31" s="1125">
        <f t="shared" si="19"/>
        <v>0</v>
      </c>
      <c r="AM31" s="1125">
        <f t="shared" si="19"/>
        <v>10820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3730</v>
      </c>
      <c r="BD31" s="1117">
        <f t="shared" si="19"/>
        <v>12706</v>
      </c>
      <c r="BE31" s="1117">
        <f t="shared" si="19"/>
        <v>0</v>
      </c>
      <c r="BF31" s="1127">
        <f t="shared" si="19"/>
        <v>0</v>
      </c>
      <c r="BG31" s="1223">
        <f>IF(ISNUMBER(Datos!K31/Datos!J31),Datos!K31/Datos!J31," - ")</f>
        <v>0.95390546429768686</v>
      </c>
      <c r="BH31" s="1223">
        <f>IF(ISNUMBER(((Datos!L31/Datos!K31)*11)/factor_trimestre),((Datos!L31/Datos!K31)*11)/factor_trimestre," - ")</f>
        <v>5.5806975926902123</v>
      </c>
      <c r="BI31" s="1103">
        <f>IF(ISNUMBER(Datos!J31/Datos!I31),Datos!J31/Datos!I31," - ")</f>
        <v>2.2197004929773976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-4.2926415734147172</v>
      </c>
      <c r="BM31" s="1188">
        <f>IF(ISNUMBER((Datos!P31-Datos!Q31+R31)/(Datos!R31-Datos!P31+Datos!Q31-R31)),(Datos!P31-Datos!Q31+R31)/(Datos!R31-Datos!P31+Datos!Q31-R31)," - ")</f>
        <v>0.11973507192383318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765.75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1.928548222268252</v>
      </c>
      <c r="F33" s="673">
        <f>IF(ISNUMBER(STDEV(F8:F30)),STDEV(F8:F30),"-")</f>
        <v>1383.347372275291</v>
      </c>
      <c r="G33" s="674">
        <f>IF(ISNUMBER(STDEV(G8:G30)),STDEV(G8:G30),"-")</f>
        <v>1331.3959108501765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5476.8621295148823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923.56146399564432</v>
      </c>
      <c r="BD33" s="673"/>
      <c r="BE33" s="673">
        <f>IF(ISNUMBER(STDEV(BE8:BE30)),STDEV(BE8:BE30),"-")</f>
        <v>0</v>
      </c>
      <c r="BF33" s="678">
        <f>IF(ISNUMBER(STDEV(BF8:BF30)),STDEV(BF8:BF30),"-")</f>
        <v>0</v>
      </c>
      <c r="BG33" s="1052">
        <f>IF(ISNUMBER(STDEV(BG8:BG30)),STDEV(BG8:BG30),"-")</f>
        <v>5.8893644737747372E-2</v>
      </c>
      <c r="BH33" s="1058">
        <f>IF(ISNUMBER(STDEV(BH8:BH30)),STDEV(BH8:BH30),"-")</f>
        <v>33.020572701126916</v>
      </c>
      <c r="BI33" s="273">
        <f>IF(ISNUMBER(STDEV(BI8:BI30)),STDEV(BI8:BI30),"-")</f>
        <v>0.13662319432098025</v>
      </c>
      <c r="BJ33" s="244" t="str">
        <f>IF(ISNUMBER(BL33/BM33),BL33/BM33," - ")</f>
        <v xml:space="preserve"> - </v>
      </c>
      <c r="BK33" s="709"/>
      <c r="BL33" s="681">
        <f>IF(ISNUMBER(STDEV(BL8:BL30)),STDEV(BL8:BL30),"-")</f>
        <v>1.7683297120441153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h3sN/8u53nZeGQ5R+KgWKIhYDZN4kvhR+UKbb8xAy1d2Cl8kTFu7E10F8732OnFXh/EYEPN1Bbn80qWzeb/TA==" saltValue="mjFh2rfKiwQeyk9XxKKL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 BARTOLOME DE TIRAJANA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2074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876</v>
      </c>
      <c r="AA9" s="551" t="str">
        <f>IF(ISNUMBER(IF(J_V="SI",Datos!L9,Datos!L9+Datos!AB9)-IF(Monitorios="SI",Datos!CD9,0)),
                          IF(J_V="SI",Datos!L9,Datos!L9+Datos!AB9)-IF(Monitorios="SI",Datos!CD9,0),
                          " - ")</f>
        <v xml:space="preserve"> - </v>
      </c>
      <c r="AB9" s="549"/>
      <c r="AC9" s="549"/>
      <c r="AD9" s="563"/>
      <c r="AE9" s="563">
        <f>IF(ISNUMBER(Datos!R9),Datos!R9," - ")</f>
        <v>9747</v>
      </c>
      <c r="AF9" s="693" t="str">
        <f>IF(ISNUMBER(Datos!BV9),Datos!BV9," - ")</f>
        <v xml:space="preserve"> - </v>
      </c>
      <c r="AG9" s="552" t="str">
        <f>IF(ISNUMBER(Datos!DV9),Datos!DV9," - ")</f>
        <v xml:space="preserve"> - </v>
      </c>
      <c r="AH9" s="553"/>
      <c r="AI9" s="554"/>
      <c r="AJ9" s="552">
        <f>IF(ISNUMBER(Datos!M9),Datos!M9," - ")</f>
        <v>2046</v>
      </c>
      <c r="AK9" s="693">
        <f>IF(ISNUMBER(Datos!N9),Datos!N9," - ")</f>
        <v>4512</v>
      </c>
      <c r="AL9" s="693" t="str">
        <f>IF(ISNUMBER(Datos!BW9),Datos!BW9," - ")</f>
        <v xml:space="preserve"> - </v>
      </c>
      <c r="AM9" s="762" t="str">
        <f>IF(ISNUMBER(Datos!BX9),Datos!BX9," - ")</f>
        <v xml:space="preserve"> - </v>
      </c>
      <c r="AN9" s="763"/>
      <c r="AO9" s="764">
        <f>IF(ISNUMBER(((NºAsuntos!I9/NºAsuntos!G9)*11)/factor_trimestre),((NºAsuntos!I9/NºAsuntos!G9)*11)/factor_trimestre," - ")</f>
        <v>9.2733409393420807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0.14013334892969939</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77</v>
      </c>
      <c r="G10" s="552">
        <f>IF(ISNUMBER(Datos!I10),Datos!I10," - ")</f>
        <v>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143</v>
      </c>
      <c r="Z10" s="805">
        <f>IF(ISNUMBER(Datos!Q10),Datos!Q10," - ")</f>
        <v>22</v>
      </c>
      <c r="AA10" s="551">
        <f>IF(ISNUMBER(Datos!L10),Datos!L10,"-")</f>
        <v>88</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47</v>
      </c>
      <c r="AK10" s="693">
        <f>IF(ISNUMBER(Datos!N10),Datos!N10," - ")</f>
        <v>52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6.7692307692307701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-0.19642857142857142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112</v>
      </c>
      <c r="AA12" s="551" t="str">
        <f>IF(ISNUMBER(IF(J_V="SI",Datos!L12,Datos!L12+Datos!AB12)-IF(Monitorios="SI",Datos!CD12,0)),
                          IF(J_V="SI",Datos!L12,Datos!L12+Datos!AB12)-IF(Monitorios="SI",Datos!CD12,0),
                          " - ")</f>
        <v xml:space="preserve"> - </v>
      </c>
      <c r="AB12" s="549"/>
      <c r="AC12" s="549"/>
      <c r="AD12" s="563"/>
      <c r="AE12" s="563">
        <f>IF(ISNUMBER(Datos!R12),Datos!R12," - ")</f>
        <v>629</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-0.14769647696476965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77</v>
      </c>
      <c r="G14" s="1197">
        <f>SUBTOTAL(9,G8:G13)</f>
        <v>77</v>
      </c>
      <c r="H14" s="1211"/>
      <c r="I14" s="1197">
        <f t="shared" ref="I14:N14" si="1">SUBTOTAL(9,I8:I13)</f>
        <v>0</v>
      </c>
      <c r="J14" s="1164">
        <f t="shared" si="1"/>
        <v>0</v>
      </c>
      <c r="K14" s="1211">
        <f t="shared" si="1"/>
        <v>0</v>
      </c>
      <c r="L14" s="1211">
        <f t="shared" si="1"/>
        <v>0</v>
      </c>
      <c r="M14" s="1211">
        <f t="shared" si="1"/>
        <v>0</v>
      </c>
      <c r="N14" s="1211">
        <f t="shared" si="1"/>
        <v>2088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143</v>
      </c>
      <c r="Z14" s="1210">
        <f t="shared" si="3"/>
        <v>1010</v>
      </c>
      <c r="AA14" s="1199">
        <f t="shared" si="3"/>
        <v>88</v>
      </c>
      <c r="AB14" s="1199">
        <f t="shared" si="3"/>
        <v>0</v>
      </c>
      <c r="AC14" s="1199">
        <f t="shared" si="3"/>
        <v>0</v>
      </c>
      <c r="AD14" s="1199">
        <f t="shared" si="3"/>
        <v>0</v>
      </c>
      <c r="AE14" s="1199">
        <f t="shared" si="3"/>
        <v>10421</v>
      </c>
      <c r="AF14" s="1211">
        <f t="shared" si="3"/>
        <v>0</v>
      </c>
      <c r="AG14" s="1211">
        <f t="shared" si="3"/>
        <v>0</v>
      </c>
      <c r="AH14" s="1211">
        <f t="shared" si="3"/>
        <v>0</v>
      </c>
      <c r="AI14" s="1211">
        <f t="shared" si="3"/>
        <v>0</v>
      </c>
      <c r="AJ14" s="1211">
        <f t="shared" si="3"/>
        <v>2093</v>
      </c>
      <c r="AK14" s="1211">
        <f t="shared" si="3"/>
        <v>4566</v>
      </c>
      <c r="AL14" s="1211">
        <f t="shared" si="3"/>
        <v>0</v>
      </c>
      <c r="AM14" s="1211">
        <f t="shared" si="3"/>
        <v>0</v>
      </c>
      <c r="AN14" s="1211">
        <f t="shared" si="3"/>
        <v>0</v>
      </c>
      <c r="AO14" s="1203">
        <f>IF(ISNUMBER(((NºAsuntos!I14/NºAsuntos!G14)*11)/factor_trimestre),((NºAsuntos!I14/NºAsuntos!G14)*11)/factor_trimestre," - ")</f>
        <v>9.2407424767975996</v>
      </c>
      <c r="AP14" s="1213" t="str">
        <f>IF(ISNUMBER(Datos!CI14/Datos!CJ14),Datos!CI14/Datos!CJ14," - ")</f>
        <v xml:space="preserve"> - </v>
      </c>
      <c r="AQ14" s="1236">
        <f t="shared" ref="AQ14:AV14" si="4">SUBTOTAL(9,AQ9:AQ13)</f>
        <v>0</v>
      </c>
      <c r="AR14" s="1236">
        <f t="shared" si="4"/>
        <v>-0.20399169946364168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2862</v>
      </c>
      <c r="G16" s="552">
        <f>IF(ISNUMBER(IF(D_I="SI",Datos!I16,Datos!I16+Datos!AC16)),IF(D_I="SI",Datos!I16,Datos!I16+Datos!AC16)," - ")</f>
        <v>2856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421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11506</v>
      </c>
      <c r="Z16" s="805">
        <f>IF(ISNUMBER(Datos!Q16),Datos!Q16," - ")</f>
        <v>349</v>
      </c>
      <c r="AA16" s="551">
        <f>IF(ISNUMBER(IF(D_I="SI",Datos!L16,Datos!L16+Datos!AF16)),IF(D_I="SI",Datos!L16,Datos!L16+Datos!AF16)," - ")</f>
        <v>2613</v>
      </c>
      <c r="AB16" s="549"/>
      <c r="AC16" s="549"/>
      <c r="AD16" s="563"/>
      <c r="AE16" s="563">
        <f>IF(ISNUMBER(Datos!R16),Datos!R16," - ")</f>
        <v>360</v>
      </c>
      <c r="AF16" s="693" t="str">
        <f>IF(ISNUMBER(Datos!BV16),Datos!BV16," - ")</f>
        <v xml:space="preserve"> - </v>
      </c>
      <c r="AG16" s="552"/>
      <c r="AH16" s="553"/>
      <c r="AI16" s="554"/>
      <c r="AJ16" s="552">
        <f>IF(ISNUMBER(Datos!M16),Datos!M16," - ")</f>
        <v>1390</v>
      </c>
      <c r="AK16" s="693">
        <f>IF(ISNUMBER(Datos!N16),Datos!N16," - ")</f>
        <v>7476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2.4980879541108987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9</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1009</v>
      </c>
      <c r="Z18" s="805">
        <f>IF(ISNUMBER(Datos!Q18),Datos!Q18," - ")</f>
        <v>51</v>
      </c>
      <c r="AA18" s="551">
        <f>IF(ISNUMBER(Datos!L18),Datos!L18,"-")</f>
        <v>159</v>
      </c>
      <c r="AB18" s="549"/>
      <c r="AC18" s="549"/>
      <c r="AD18" s="563"/>
      <c r="AE18" s="563">
        <f>IF(ISNUMBER(Datos!R18),Datos!R18," - ")</f>
        <v>37</v>
      </c>
      <c r="AF18" s="693" t="str">
        <f>IF(ISNUMBER(Datos!BV18),Datos!BV18," - ")</f>
        <v xml:space="preserve"> - </v>
      </c>
      <c r="AG18" s="552" t="str">
        <f>IF(ISNUMBER(Datos!DV18),Datos!DV18," - ")</f>
        <v xml:space="preserve"> - </v>
      </c>
      <c r="AH18" s="553"/>
      <c r="AI18" s="554"/>
      <c r="AJ18" s="552">
        <f>IF(ISNUMBER(Datos!M18),Datos!M18," - ")</f>
        <v>247</v>
      </c>
      <c r="AK18" s="693">
        <f>IF(ISNUMBER(Datos!N18),Datos!N18," - ")</f>
        <v>663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1.7333994053518336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2872</v>
      </c>
      <c r="G23" s="1197">
        <f>SUBTOTAL(9,G16:G22)</f>
        <v>2986</v>
      </c>
      <c r="H23" s="1240">
        <f>SUBTOTAL(9,H16:H22)</f>
        <v>0</v>
      </c>
      <c r="I23" s="1217">
        <f>SUBTOTAL(9,I16:I22)</f>
        <v>0</v>
      </c>
      <c r="J23" s="1164">
        <f>SUBTOTAL(9,J15:J22)</f>
        <v>0</v>
      </c>
      <c r="K23" s="1240">
        <f t="shared" ref="K23:S23" si="5">SUBTOTAL(9,K16:K22)</f>
        <v>0</v>
      </c>
      <c r="L23" s="1240">
        <f t="shared" si="5"/>
        <v>0</v>
      </c>
      <c r="M23" s="1240">
        <f t="shared" si="5"/>
        <v>0</v>
      </c>
      <c r="N23" s="1240">
        <f t="shared" si="5"/>
        <v>479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12516</v>
      </c>
      <c r="Z23" s="1240">
        <f t="shared" si="6"/>
        <v>400</v>
      </c>
      <c r="AA23" s="1240">
        <f t="shared" si="6"/>
        <v>2781</v>
      </c>
      <c r="AB23" s="1240">
        <f t="shared" si="6"/>
        <v>0</v>
      </c>
      <c r="AC23" s="1240">
        <f t="shared" si="6"/>
        <v>0</v>
      </c>
      <c r="AD23" s="1240">
        <f t="shared" si="6"/>
        <v>0</v>
      </c>
      <c r="AE23" s="1240">
        <f t="shared" si="6"/>
        <v>399</v>
      </c>
      <c r="AF23" s="1240">
        <f t="shared" si="6"/>
        <v>0</v>
      </c>
      <c r="AG23" s="1240">
        <f t="shared" si="6"/>
        <v>0</v>
      </c>
      <c r="AH23" s="1240">
        <f t="shared" si="6"/>
        <v>0</v>
      </c>
      <c r="AI23" s="1240">
        <f t="shared" si="6"/>
        <v>0</v>
      </c>
      <c r="AJ23" s="1240">
        <f t="shared" si="6"/>
        <v>1637</v>
      </c>
      <c r="AK23" s="1240">
        <f t="shared" si="6"/>
        <v>8140</v>
      </c>
      <c r="AL23" s="1240">
        <f t="shared" si="6"/>
        <v>0</v>
      </c>
      <c r="AM23" s="1240">
        <f t="shared" si="6"/>
        <v>0</v>
      </c>
      <c r="AN23" s="1240">
        <f t="shared" si="6"/>
        <v>0</v>
      </c>
      <c r="AO23" s="1242">
        <f>IF(ISNUMBER(((NºAsuntos!I23/NºAsuntos!G23)*11)/factor_trimestre),((NºAsuntos!I23/NºAsuntos!G23)*11)/factor_trimestre," - ")</f>
        <v>2.4441514860977946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2949</v>
      </c>
      <c r="G31" s="1117">
        <f t="shared" si="12"/>
        <v>3063</v>
      </c>
      <c r="H31" s="1118">
        <f t="shared" si="12"/>
        <v>0</v>
      </c>
      <c r="I31" s="1117">
        <f t="shared" si="12"/>
        <v>0</v>
      </c>
      <c r="J31" s="1119">
        <f t="shared" si="12"/>
        <v>0</v>
      </c>
      <c r="K31" s="1117">
        <f t="shared" si="12"/>
        <v>0</v>
      </c>
      <c r="L31" s="1120">
        <f t="shared" si="12"/>
        <v>0</v>
      </c>
      <c r="M31" s="1117">
        <f t="shared" si="12"/>
        <v>0</v>
      </c>
      <c r="N31" s="1118">
        <f t="shared" si="12"/>
        <v>2567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12659</v>
      </c>
      <c r="Z31" s="1124">
        <f t="shared" si="13"/>
        <v>1410</v>
      </c>
      <c r="AA31" s="1125">
        <f t="shared" si="13"/>
        <v>2869</v>
      </c>
      <c r="AB31" s="1125">
        <f t="shared" si="13"/>
        <v>0</v>
      </c>
      <c r="AC31" s="1125">
        <f t="shared" si="13"/>
        <v>0</v>
      </c>
      <c r="AD31" s="1126">
        <f t="shared" si="13"/>
        <v>0</v>
      </c>
      <c r="AE31" s="1126">
        <f t="shared" si="13"/>
        <v>10820</v>
      </c>
      <c r="AF31" s="1127">
        <f t="shared" si="13"/>
        <v>0</v>
      </c>
      <c r="AG31" s="1128">
        <f t="shared" si="13"/>
        <v>0</v>
      </c>
      <c r="AH31" s="1129">
        <f t="shared" si="13"/>
        <v>0</v>
      </c>
      <c r="AI31" s="1127">
        <f t="shared" si="13"/>
        <v>0</v>
      </c>
      <c r="AJ31" s="1117">
        <f t="shared" si="13"/>
        <v>3730</v>
      </c>
      <c r="AK31" s="1117">
        <f t="shared" si="13"/>
        <v>12706</v>
      </c>
      <c r="AL31" s="1117">
        <f t="shared" si="13"/>
        <v>0</v>
      </c>
      <c r="AM31" s="1130">
        <f t="shared" si="13"/>
        <v>0</v>
      </c>
      <c r="AN31" s="1120">
        <f>IF(ISNUMBER(Datos!K31/Datos!J31),Datos!K31/Datos!J31," - ")</f>
        <v>0.95390546429768686</v>
      </c>
      <c r="AO31" s="1120">
        <f>IF(ISNUMBER(FIND("06",Criterios!A8,1)),(IF(ISNUMBER(((Datos!R31/Datos!Q31)*11)/factor_trimestre),((Datos!R31/Datos!Q31)*11)/factor_trimestre," - ")),(IF(ISNUMBER(((Datos!L31/Datos!K31)*11)/factor_trimestre),((Datos!L31/Datos!K31)*11)/factor_trimestre," - ")))</f>
        <v>5.5806975926902123</v>
      </c>
      <c r="AP31" s="1131" t="str">
        <f>IF(ISNUMBER(Datos!CI31/Datos!CJ31),Datos!CI31/Datos!CJ31," - ")</f>
        <v xml:space="preserve"> - </v>
      </c>
      <c r="AQ31" s="1131">
        <f>IF(OR(ISNUMBER(FIND("01",Criterios!A8,1)),ISNUMBER(FIND("02",Criterios!A8,1)),ISNUMBER(FIND("03",Criterios!A8,1)),ISNUMBER(FIND("04",Criterios!A8,1))),(J31-Y31+K31)/(F31-K31),(I31-Y31+K31)/(F31-K31))</f>
        <v>-4.2926415734147172</v>
      </c>
      <c r="AR31" s="1131">
        <f>IF(ISNUMBER((Datos!P31-Datos!Q31+O31)/(Datos!R31-Datos!P31+Datos!Q31-O31)),(Datos!P31-Datos!Q31+O31)/(Datos!R31-Datos!P31+Datos!Q31-O31)," - ")</f>
        <v>0.11973507192383318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765.75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1383.347372275291</v>
      </c>
      <c r="G33" s="674">
        <f>IF(ISNUMBER(STDEV(G8:G30)),STDEV(G8:G30),"-")</f>
        <v>1331.3959108501765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923.56146399564432</v>
      </c>
      <c r="AK33" s="276"/>
      <c r="AL33" s="276">
        <f>IF(ISNUMBER(STDEV(AL8:AL30)),STDEV(AL8:AL30),"-")</f>
        <v>0</v>
      </c>
      <c r="AM33" s="278">
        <f>IF(ISNUMBER(STDEV(AM8:AM30)),STDEV(AM8:AM30),"-")</f>
        <v>0</v>
      </c>
      <c r="AN33" s="660">
        <f>IF(ISNUMBER(STDEV(AN8:AN30)),STDEV(AN8:AN30),"-")</f>
        <v>0</v>
      </c>
      <c r="AO33" s="661">
        <f>IF(ISNUMBER(STDEV(AO8:AO30)),STDEV(AO8:AO30),"-")</f>
        <v>33.026795634354784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dlYB5S87U3HFseAjcKJ7tMcfdccxrmltabqOLgcveD3ggcajkfI/R46DOHbMXdhfVBy3YTX45zLEXs8MDxEnQ==" saltValue="v1bj6zvq6706rOqbVh0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b0WTRHdj/LYeKlPZR/VTa/m6sWPOeCfJTEQBJJ5P9jSn2Qx3GpaSEHRs8Q5aDTgITw/yHmx9sNBcDYvkuGSvQ==" saltValue="xAKY4xn1vVICE7mo1qd0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sAASjh+Y0XmfPnIUj3Hes3zoiAovDccSVstIWWYI2SUTps5U/jf3xwm/bD2chSHCZh+Fz4CiSQdysIr9pRug==" saltValue="n1QkelFCru6tV0hnIwu6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 BARTOLOME DE TIRAJANA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0.19621261835567638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0.13874327299366682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3E66BMu/AgBZxgjjAy6ZsnEBbpogSPXa4kmxz2bn72fNnmUr9xBu0vfEjCF0oUbLBID03PnaMoVKWS3f9jyB/g==" saltValue="L6dkLeO6oxMyuHCFsa8F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gQH4WFeoYykvLAAwiNjyIO3bhFHIf8oV3cJuCMCas7E4vzr3r1cknvPEMwGqE29lU7Jw4+45TI2Fn/0HJZSQg==" saltValue="Y0mwhfIAT8d2aAE7SYZ8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 BARTOLOME DE TIRAJANA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7849</v>
      </c>
      <c r="D9" s="452">
        <f>IF(ISNUMBER(C9/Datos!BH9),C9/Datos!BH9," - ")</f>
        <v>1569.8</v>
      </c>
      <c r="E9" s="451">
        <f>IF(ISNUMBER(IF(J_V="SI",Datos!J9,Datos!J9+Datos!Z9)),IF(J_V="SI",Datos!J9,Datos!J9+Datos!Z9)," - ")</f>
        <v>11822</v>
      </c>
      <c r="F9" s="452">
        <f>IF(ISNUMBER(E9/B9),E9/B9," - ")</f>
        <v>2364.4</v>
      </c>
      <c r="G9" s="451">
        <f>IF(ISNUMBER(IF(J_V="SI",Datos!K9,Datos!K9+Datos!AA9)),IF(J_V="SI",Datos!K9,Datos!K9+Datos!AA9)," - ")</f>
        <v>10518</v>
      </c>
      <c r="H9" s="452">
        <f>IF(ISNUMBER(G9/B9),G9/B9," - ")</f>
        <v>2103.6</v>
      </c>
      <c r="I9" s="451">
        <f>IF(ISNUMBER(IF(J_V="SI",Datos!L9,Datos!L9+Datos!AB9)),IF(J_V="SI",Datos!L9,Datos!L9+Datos!AB9)," - ")</f>
        <v>8867</v>
      </c>
      <c r="J9" s="452">
        <f>IF(ISNUMBER(I9/B9),I9/B9," - ")</f>
        <v>1773.4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77</v>
      </c>
      <c r="D10" s="452">
        <f>IF(ISNUMBER(C10/Datos!BH10),C10/Datos!BH10," - ")</f>
        <v>77</v>
      </c>
      <c r="E10" s="451">
        <f>IF(ISNUMBER(Datos!J10),Datos!J10," - ")</f>
        <v>154</v>
      </c>
      <c r="F10" s="452">
        <f>IF(ISNUMBER(E10/B10),E10/B10," - ")</f>
        <v>154</v>
      </c>
      <c r="G10" s="451">
        <f>IF(ISNUMBER(Datos!K10),Datos!K10," - ")</f>
        <v>143</v>
      </c>
      <c r="H10" s="452">
        <f>IF(ISNUMBER(G10/B10),G10/B10," - ")</f>
        <v>143</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6</v>
      </c>
      <c r="H12" s="452" t="str">
        <f>IF(ISNUMBER(G12/B12),G12/B12," - ")</f>
        <v xml:space="preserve"> - </v>
      </c>
      <c r="I12" s="451">
        <f>IF(ISNUMBER(IF(J_V="SI",Datos!L12,Datos!L12+Datos!AB12)),IF(J_V="SI",Datos!L12,Datos!L12+Datos!AB12)," - ")</f>
        <v>6</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7938</v>
      </c>
      <c r="D14" s="1147" t="str">
        <f>IF(ISNUMBER(C14/Datos!BI14),C14/Datos!BI14," - ")</f>
        <v xml:space="preserve"> - </v>
      </c>
      <c r="E14" s="1146">
        <f>SUBTOTAL(9,E8:E13)</f>
        <v>11976</v>
      </c>
      <c r="F14" s="1147">
        <f>IF(ISNUMBER(E14/B14),E14/B14," - ")</f>
        <v>1996</v>
      </c>
      <c r="G14" s="1146">
        <f>SUBTOTAL(9,G8:G13)</f>
        <v>10667</v>
      </c>
      <c r="H14" s="1147">
        <f>IF(ISNUMBER(G14/B14),G14/B14," - ")</f>
        <v>1777.8333333333333</v>
      </c>
      <c r="I14" s="1146">
        <f>SUBTOTAL(9,I8:I13)</f>
        <v>8961</v>
      </c>
      <c r="J14" s="1147">
        <f>IF(ISNUMBER(I14/B14),I14/B14," - ")</f>
        <v>1493.5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2856</v>
      </c>
      <c r="D16" s="452">
        <f>IF(ISNUMBER(C16/Datos!BH16),C16/Datos!BH16," - ")</f>
        <v>952</v>
      </c>
      <c r="E16" s="451">
        <f>IF(ISNUMBER(IF(D_I="SI",Datos!J16,Datos!J16+Datos!AD16)),IF(D_I="SI",Datos!J16,Datos!J16+Datos!AD16)," - ")</f>
        <v>11257</v>
      </c>
      <c r="F16" s="452">
        <f>IF(ISNUMBER(E16/B16),E16/B16," - ")</f>
        <v>3752.3333333333335</v>
      </c>
      <c r="G16" s="451">
        <f>IF(ISNUMBER(IF(D_I="SI",Datos!K16,Datos!K16+Datos!AE16)),IF(D_I="SI",Datos!K16,Datos!K16+Datos!AE16)," - ")</f>
        <v>11506</v>
      </c>
      <c r="H16" s="452">
        <f>IF(ISNUMBER(G16/B16),G16/B16," - ")</f>
        <v>3835.3333333333335</v>
      </c>
      <c r="I16" s="451">
        <f>IF(ISNUMBER(IF(D_I="SI",Datos!L16,Datos!L16+Datos!AF16)),IF(D_I="SI",Datos!L16,Datos!L16+Datos!AF16)," - ")</f>
        <v>2613</v>
      </c>
      <c r="J16" s="452">
        <f>IF(ISNUMBER(I16/B16),I16/B16," - ")</f>
        <v>871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9</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1079</v>
      </c>
      <c r="F18" s="452">
        <f>IF(ISNUMBER(E18/B18),E18/B18," - ")</f>
        <v>1079</v>
      </c>
      <c r="G18" s="451">
        <f>IF(ISNUMBER(IF(D_I="SI",Datos!K18,Datos!K18+Datos!AE18)),IF(D_I="SI",Datos!K18,Datos!K18+Datos!AE18)," - ")</f>
        <v>1009</v>
      </c>
      <c r="H18" s="452">
        <f>IF(ISNUMBER(G18/B18),G18/B18," - ")</f>
        <v>1009</v>
      </c>
      <c r="I18" s="451">
        <f>IF(ISNUMBER(IF(D_I="SI",Datos!L18,Datos!L18+Datos!AF18)),IF(D_I="SI",Datos!L18,Datos!L18+Datos!AF18)," - ")</f>
        <v>159</v>
      </c>
      <c r="J18" s="452">
        <f>IF(ISNUMBER(I18/B18),I18/B18," - ")</f>
        <v>159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2986</v>
      </c>
      <c r="D23" s="1147" t="str">
        <f>IF(ISNUMBER(C23/Datos!BI23),C23/Datos!BI23," - ")</f>
        <v xml:space="preserve"> - </v>
      </c>
      <c r="E23" s="1146">
        <f>SUBTOTAL(9,E15:E22)</f>
        <v>12336</v>
      </c>
      <c r="F23" s="1147">
        <f>IF(ISNUMBER(E23/B23),E23/B23," - ")</f>
        <v>3084</v>
      </c>
      <c r="G23" s="1146">
        <f>SUBTOTAL(9,G15:G22)</f>
        <v>12516</v>
      </c>
      <c r="H23" s="1147">
        <f>IF(ISNUMBER(G23/B23),G23/B23," - ")</f>
        <v>3129</v>
      </c>
      <c r="I23" s="1146">
        <f>SUBTOTAL(9,I15:I22)</f>
        <v>2781</v>
      </c>
      <c r="J23" s="1147">
        <f>IF(ISNUMBER(I23/B23),I23/B23," - ")</f>
        <v>695.25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10924</v>
      </c>
      <c r="D31" s="1085" t="str">
        <f>IF(ISNUMBER(C31/Datos!BI31),C31/Datos!BI31," - ")</f>
        <v xml:space="preserve"> - </v>
      </c>
      <c r="E31" s="1084">
        <f>SUBTOTAL(9,E9:E30)</f>
        <v>24312</v>
      </c>
      <c r="F31" s="1085">
        <f>IF(ISNUMBER(E31/B31),E31/B31," - ")</f>
        <v>2701.3333333333335</v>
      </c>
      <c r="G31" s="1084">
        <f>SUBTOTAL(9,G9:G30)</f>
        <v>23183</v>
      </c>
      <c r="H31" s="1085">
        <f>IF(ISNUMBER(G31/B31),G31/B31," - ")</f>
        <v>2575.8888888888887</v>
      </c>
      <c r="I31" s="1084">
        <f>SUBTOTAL(9,I9:I30)</f>
        <v>11742</v>
      </c>
      <c r="J31" s="1085">
        <f>IF(ISNUMBER(I31/B31),I31/B31," - ")</f>
        <v>1304.6666666666667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5hGRFRMYTpmWiRQpeac0z4I91Fm5BtrTtE8puLYTa/YHa23A9/0hLRsxu6kOeVrQqKmz+6BC5zdDRSyX6ntRhg==" saltValue="cliBNJMXGyRHy40y3ygG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 BARTOLOME DE TIRAJANA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77</v>
      </c>
      <c r="G10" s="906">
        <f>IF(ISNUMBER(Datos!I10),Datos!I10," - ")</f>
        <v>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143</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47</v>
      </c>
      <c r="AM10" s="914">
        <f>IF(ISNUMBER(Datos!N10+DatosP!N18),Datos!N10+DatosP!N18," - ")</f>
        <v>52</v>
      </c>
      <c r="AN10" s="914">
        <f>IF(ISNUMBER(Datos!BW10+DatosP!BW18),Datos!BW10+DatosP!BW18," - ")</f>
        <v>0</v>
      </c>
      <c r="AO10" s="915">
        <f>IF(ISNUMBER(Datos!BX10+DatosP!BX18),Datos!BX10+DatosP!BX18," - ")</f>
        <v>0</v>
      </c>
      <c r="AP10" s="917">
        <f>IF(ISNUMBER(((Datos!L10/Datos!K10)*11)/factor_trimestre),((Datos!L10/Datos!K10)*11)/factor_trimestre," - ")</f>
        <v>6.7692307692307701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-0.14769647696476965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77</v>
      </c>
      <c r="G14" s="1256">
        <f t="shared" si="0"/>
        <v>77</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143</v>
      </c>
      <c r="AC14" s="1257">
        <f t="shared" si="1"/>
        <v>0</v>
      </c>
      <c r="AD14" s="1257">
        <f t="shared" si="1"/>
        <v>112</v>
      </c>
      <c r="AE14" s="1257">
        <f t="shared" si="1"/>
        <v>0</v>
      </c>
      <c r="AF14" s="1257">
        <f t="shared" si="1"/>
        <v>88</v>
      </c>
      <c r="AG14" s="1257">
        <f t="shared" si="1"/>
        <v>0</v>
      </c>
      <c r="AH14" s="1257">
        <f t="shared" si="1"/>
        <v>629</v>
      </c>
      <c r="AI14" s="1257">
        <f t="shared" si="1"/>
        <v>0</v>
      </c>
      <c r="AJ14" s="1257">
        <f t="shared" si="1"/>
        <v>0</v>
      </c>
      <c r="AK14" s="1257">
        <f t="shared" si="1"/>
        <v>0</v>
      </c>
      <c r="AL14" s="1257">
        <f t="shared" si="1"/>
        <v>47</v>
      </c>
      <c r="AM14" s="1257">
        <f t="shared" si="1"/>
        <v>54</v>
      </c>
      <c r="AN14" s="1257">
        <f t="shared" si="1"/>
        <v>0</v>
      </c>
      <c r="AO14" s="1257">
        <f t="shared" si="1"/>
        <v>0</v>
      </c>
      <c r="AP14" s="1262">
        <f>IF(ISNUMBER(((Datos!L14/Datos!K14)*11)/factor_trimestre),((Datos!L14/Datos!K14)*11)/factor_trimestre," - ")</f>
        <v>9.4113973458235751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-1.8571428571428572</v>
      </c>
      <c r="AU14" s="1257" t="str">
        <f>IF(ISNUMBER((DatosP!#REF!-DatosP!#REF!+DatosP!#REF!)/(DatosP!#REF!+DatosP!#REF!-DatosP!#REF!-DatosP!#REF!)),(DatosP!#REF!-DatosP!#REF!+DatosP!#REF!)/(DatosP!#REF!+DatosP!#REF!-DatosP!#REF!-DatosP!#REF!)," - ")</f>
        <v xml:space="preserve"> - </v>
      </c>
      <c r="AV14" s="1263">
        <f>SUBTOTAL(9,AV9:AV13)</f>
        <v>-0.14769647696476965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2.4441514860977946</v>
      </c>
      <c r="AQ23" s="1262">
        <f>IF(ISNUMBER(((Datos!M23/Datos!L23)*11)/factor_trimestre),((Datos!M23/Datos!L23)*11)/factor_trimestre," - ")</f>
        <v>6.4750089895720961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0.24687500000000001</v>
      </c>
      <c r="AW23" s="1265">
        <f>IF(ISNUMBER((Datos!Q23-Datos!R23)/(Datos!S23-Datos!Q23+Datos!R23)),(Datos!Q23-Datos!R23)/(Datos!S23-Datos!Q23+Datos!R23)," - ")</f>
        <v>2.9949086552860139E-4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77</v>
      </c>
      <c r="G31" s="1278">
        <f t="shared" si="8"/>
        <v>77</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143</v>
      </c>
      <c r="AC31" s="1284">
        <f t="shared" si="9"/>
        <v>0</v>
      </c>
      <c r="AD31" s="1284">
        <f t="shared" si="9"/>
        <v>112</v>
      </c>
      <c r="AE31" s="1284">
        <f t="shared" si="9"/>
        <v>0</v>
      </c>
      <c r="AF31" s="1285">
        <f t="shared" si="9"/>
        <v>88</v>
      </c>
      <c r="AG31" s="1285">
        <f t="shared" si="9"/>
        <v>0</v>
      </c>
      <c r="AH31" s="1285">
        <f t="shared" si="9"/>
        <v>629</v>
      </c>
      <c r="AI31" s="1285">
        <f t="shared" si="9"/>
        <v>0</v>
      </c>
      <c r="AJ31" s="1286">
        <f t="shared" si="9"/>
        <v>0</v>
      </c>
      <c r="AK31" s="1286">
        <f t="shared" si="9"/>
        <v>0</v>
      </c>
      <c r="AL31" s="1278">
        <f t="shared" si="9"/>
        <v>47</v>
      </c>
      <c r="AM31" s="1278">
        <f t="shared" si="9"/>
        <v>54</v>
      </c>
      <c r="AN31" s="1278">
        <f t="shared" si="9"/>
        <v>0</v>
      </c>
      <c r="AO31" s="1278">
        <f t="shared" si="9"/>
        <v>0</v>
      </c>
      <c r="AP31" s="1278">
        <f>IF(ISNUMBER(((Datos!L31/Datos!K31)*11)/factor_trimestre),((Datos!L31/Datos!K31)*11)/factor_trimestre," - ")</f>
        <v>5.5806975926902123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-1.8571428571428572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0.11973507192383318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42.174636927897794</v>
      </c>
      <c r="G33" s="1007">
        <f>IF(ISNUMBER(STDEV(G8:G30)),STDEV(G8:G30),"-")</f>
        <v>42.174636927897794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78.324325723238758</v>
      </c>
      <c r="AC33" s="1008">
        <f>IF(ISNUMBER(STDEV(AC8:AC30)),STDEV(AC8:AC30),"-")</f>
        <v>0</v>
      </c>
      <c r="AD33" s="1011"/>
      <c r="AE33" s="1011"/>
      <c r="AF33" s="1011"/>
      <c r="AG33" s="1011"/>
      <c r="AH33" s="1011"/>
      <c r="AI33" s="1011"/>
      <c r="AJ33" s="1012">
        <f>IF(ISNUMBER(STDEV(AJ8:AJ30)),STDEV(AJ8:AJ30),"-")</f>
        <v>0</v>
      </c>
      <c r="AK33" s="1014"/>
      <c r="AL33" s="1006">
        <f>IF(ISNUMBER(STDEV(AL8:AL30)),STDEV(AL8:AL30),"-")</f>
        <v>24.270695636233146</v>
      </c>
      <c r="AM33" s="1006"/>
      <c r="AN33" s="1006">
        <f>IF(ISNUMBER(STDEV(AN8:AN30)),STDEV(AN8:AN30),"-")</f>
        <v>0</v>
      </c>
      <c r="AO33" s="1012">
        <f>IF(ISNUMBER(STDEV(AO8:AO30)),STDEV(AO8:AO30),"-")</f>
        <v>0</v>
      </c>
      <c r="AP33" s="1065">
        <f>IF(ISNUMBER(STDEV(AP8:AP30)),STDEV(AP8:AP30),"-")</f>
        <v>3.7400476864544419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yhOab+FFYFsZ6h8WWtNZy2RF+XirEyjFRFFbMj1YSaPPGqwKpChOEE6i0BLZ1jhUGZjDc5qi+0ya969CteFT7g==" saltValue="ZdsC1Tf+mXz7Djki7ZAQ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 BARTOLOME DE TIRAJANA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ndp830N2f4Tp34RGeKFbnL9FmKSkm7o5jz3KCSZL/M9UgVSPGTK2dathqnvraoQsJ/I1vW9tNhspWhzhlZQCw==" saltValue="QES//N7sD6H66LCATBBn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 BARTOLOME DE TIRAJANA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2046</v>
      </c>
      <c r="E9" s="452">
        <f t="shared" ref="E9:E14" si="0">IF(ISNUMBER(D9/B9),D9/B9," - ")</f>
        <v>409.2</v>
      </c>
      <c r="F9" s="451">
        <f>IF(ISNUMBER(Datos!N9),Datos!N9," - ")</f>
        <v>4512</v>
      </c>
      <c r="G9" s="452">
        <f t="shared" ref="G9:G14" si="1">IF(ISNUMBER(F9/B9),F9/B9," - ")</f>
        <v>902.4</v>
      </c>
      <c r="H9" s="451">
        <f>IF(ISNUMBER(Datos!O9),Datos!O9," - ")</f>
        <v>2886</v>
      </c>
      <c r="I9" s="452">
        <f>IF(ISNUMBER(H9/B9),H9/B9," - ")</f>
        <v>577.20000000000005</v>
      </c>
    </row>
    <row r="10" spans="1:9">
      <c r="A10" s="450" t="str">
        <f>Datos!A10</f>
        <v>Jdos. Violencia contra la mujer</v>
      </c>
      <c r="B10" s="480">
        <f>Datos!AO10</f>
        <v>1</v>
      </c>
      <c r="C10" s="458">
        <f>Datos!AQ10</f>
        <v>1</v>
      </c>
      <c r="D10" s="451">
        <f>IF(ISNUMBER(Datos!M10),Datos!M10," - ")</f>
        <v>47</v>
      </c>
      <c r="E10" s="452">
        <f>IF(ISNUMBER(D10/B10),D10/B10," - ")</f>
        <v>47</v>
      </c>
      <c r="F10" s="451">
        <f>IF(ISNUMBER(Datos!N10),Datos!N10," - ")</f>
        <v>52</v>
      </c>
      <c r="G10" s="452">
        <f>IF(ISNUMBER(F10/B10),F10/B10," - ")</f>
        <v>52</v>
      </c>
      <c r="H10" s="451">
        <f>IF(ISNUMBER(Datos!O10),Datos!O10," - ")</f>
        <v>42</v>
      </c>
      <c r="I10" s="452">
        <f t="shared" ref="I10:I13" si="2">IF(ISNUMBER(H10/B10),H10/B10," - ")</f>
        <v>42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30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2093</v>
      </c>
      <c r="E14" s="1147">
        <f t="shared" si="0"/>
        <v>348.83333333333331</v>
      </c>
      <c r="F14" s="1146">
        <f>SUBTOTAL(9,F9:F13)</f>
        <v>4566</v>
      </c>
      <c r="G14" s="1147">
        <f t="shared" si="1"/>
        <v>761</v>
      </c>
      <c r="H14" s="1146">
        <f>SUBTOTAL(9,H9:H13)</f>
        <v>2958</v>
      </c>
      <c r="I14" s="1147">
        <f>IF(ISNUMBER(H14/B14),H14/B14," - ")</f>
        <v>493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1390</v>
      </c>
      <c r="E16" s="452">
        <f t="shared" ref="E16:E23" si="3">IF(ISNUMBER(D16/B16),D16/B16," - ")</f>
        <v>463.33333333333331</v>
      </c>
      <c r="F16" s="451">
        <f>IF(ISNUMBER(Datos!N16),Datos!N16," - ")</f>
        <v>7476</v>
      </c>
      <c r="G16" s="452">
        <f t="shared" ref="G16:G23" si="4">IF(ISNUMBER(F16/B16),F16/B16," - ")</f>
        <v>2492</v>
      </c>
      <c r="H16" s="451">
        <f>IF(ISNUMBER(Datos!O16),Datos!O16," - ")</f>
        <v>47</v>
      </c>
      <c r="I16" s="452">
        <f t="shared" ref="I16:I22" si="5">IF(ISNUMBER(H16/B16),H16/B16," - ")</f>
        <v>15.666666666666666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247</v>
      </c>
      <c r="E18" s="452">
        <f>IF(ISNUMBER(D18/B18),D18/B18," - ")</f>
        <v>247</v>
      </c>
      <c r="F18" s="451">
        <f>IF(ISNUMBER(Datos!N18),Datos!N18," - ")</f>
        <v>663</v>
      </c>
      <c r="G18" s="452">
        <f>IF(ISNUMBER(F18/B18),F18/B18," - ")</f>
        <v>663</v>
      </c>
      <c r="H18" s="451">
        <f>IF(ISNUMBER(Datos!O18),Datos!O18," - ")</f>
        <v>51</v>
      </c>
      <c r="I18" s="452">
        <f t="shared" si="5"/>
        <v>51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1637</v>
      </c>
      <c r="E23" s="1147">
        <f t="shared" si="3"/>
        <v>409.25</v>
      </c>
      <c r="F23" s="1146">
        <f>SUBTOTAL(9,F16:F22)</f>
        <v>8140</v>
      </c>
      <c r="G23" s="1147">
        <f t="shared" si="4"/>
        <v>2035</v>
      </c>
      <c r="H23" s="1146">
        <f>SUBTOTAL(9,H16:H22)</f>
        <v>98</v>
      </c>
      <c r="I23" s="1147">
        <f>IF(ISNUMBER(H23/B23),H23/B23," - ")</f>
        <v>24.5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3730</v>
      </c>
      <c r="E31" s="1085">
        <f>IF(ISNUMBER(D31/B31),D31/B31," - ")</f>
        <v>414.44444444444446</v>
      </c>
      <c r="F31" s="1084">
        <f>SUBTOTAL(9,F8:F30)</f>
        <v>12706</v>
      </c>
      <c r="G31" s="1085">
        <f>IF(ISNUMBER(F31/B31),F31/B31," - ")</f>
        <v>1411.7777777777778</v>
      </c>
      <c r="H31" s="1084">
        <f>SUBTOTAL(9,H8:H30)</f>
        <v>3056</v>
      </c>
      <c r="I31" s="1085">
        <f>IF(ISNUMBER(H31/B31),H31/B31," - ")</f>
        <v>339.55555555555554</v>
      </c>
    </row>
    <row r="34" spans="1:1">
      <c r="A34" s="439" t="str">
        <f>Criterios!A4</f>
        <v>Fecha Informe: 14 abr. 2023</v>
      </c>
    </row>
    <row r="39" spans="1:1">
      <c r="A39" s="462"/>
    </row>
  </sheetData>
  <sheetProtection algorithmName="SHA-512" hashValue="zlU9jgSDa3j5dn86r5p1386Hj/HlfYYq5CYIEInJOPyP+0pDanLekieeQ8emJNhYd8nTbi8HX4uU5Hq+KxL1OQ==" saltValue="rDn5fh7qt84lizGgLvK1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 BARTOLOME DE TIRAJANA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2074</v>
      </c>
      <c r="C9" s="489">
        <f>IF(ISNUMBER(Datos!Q9),Datos!Q9," - ")</f>
        <v>876</v>
      </c>
      <c r="D9" s="456">
        <f>IF(ISNUMBER(Datos!R9),Datos!R9," - ")</f>
        <v>9747</v>
      </c>
    </row>
    <row r="10" spans="1:4">
      <c r="A10" s="450" t="str">
        <f>Datos!A10</f>
        <v>Jdos. Violencia contra la mujer</v>
      </c>
      <c r="B10" s="488">
        <f>IF(ISNUMBER(Datos!P10),Datos!P10," - ")</f>
        <v>11</v>
      </c>
      <c r="C10" s="489">
        <f>IF(ISNUMBER(Datos!Q10),Datos!Q10," - ")</f>
        <v>22</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v>
      </c>
      <c r="C12" s="489">
        <f>IF(ISNUMBER(Datos!Q12),Datos!Q12," - ")</f>
        <v>112</v>
      </c>
      <c r="D12" s="456">
        <f>IF(ISNUMBER(Datos!R12),Datos!R12," - ")</f>
        <v>629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2088</v>
      </c>
      <c r="C14" s="1150">
        <f>SUBTOTAL(9,C9:C13)</f>
        <v>1010</v>
      </c>
      <c r="D14" s="1148">
        <f>SUBTOTAL(9,D9:D13)</f>
        <v>10421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421</v>
      </c>
      <c r="C16" s="489">
        <f>IF(ISNUMBER(Datos!Q16),Datos!Q16," - ")</f>
        <v>349</v>
      </c>
      <c r="D16" s="456">
        <f>IF(ISNUMBER(Datos!R16),Datos!R16," - ")</f>
        <v>360</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58</v>
      </c>
      <c r="C18" s="489">
        <f>IF(ISNUMBER(Datos!Q18),Datos!Q18," - ")</f>
        <v>51</v>
      </c>
      <c r="D18" s="456">
        <f>IF(ISNUMBER(Datos!R18),Datos!R18," - ")</f>
        <v>37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479</v>
      </c>
      <c r="C23" s="1150">
        <f>SUBTOTAL(9,C16:C22)</f>
        <v>400</v>
      </c>
      <c r="D23" s="1148">
        <f>SUBTOTAL(9,D16:D22)</f>
        <v>399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2567</v>
      </c>
      <c r="C31" s="1089">
        <f>SUBTOTAL(9,C8:C30)</f>
        <v>1410</v>
      </c>
      <c r="D31" s="1090">
        <f>SUBTOTAL(9,D8:D30)</f>
        <v>10820</v>
      </c>
    </row>
    <row r="32" spans="1:4" ht="7.5" customHeight="1"/>
    <row r="33" spans="1:1" ht="6" customHeight="1"/>
    <row r="34" spans="1:1">
      <c r="A34" s="439" t="str">
        <f>Criterios!A4</f>
        <v>Fecha Informe: 14 abr. 2023</v>
      </c>
    </row>
    <row r="39" spans="1:1">
      <c r="A39" s="462"/>
    </row>
  </sheetData>
  <sheetProtection algorithmName="SHA-512" hashValue="9mSdYjL7zJcU+SBjyA6g6KykNstXD+cGO/Z67e6qctwq16sZEUu8SZObwctNZ7T7Ul7ks4MuVo3lNiYNqk6mBA==" saltValue="rCL8uT1PcNsu3naRRmSn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 BARTOLOME DE TIRAJANA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0.19503654080389768</v>
      </c>
      <c r="C9" s="515">
        <f>IF(ISNUMBER(
   IF(J_V="SI",(Datos!J9-Datos!T9)/Datos!T9,(Datos!J9+Datos!Z9-(Datos!T9+Datos!AH9))/(Datos!T9+Datos!AH9))
     ),IF(J_V="SI",(Datos!J9-Datos!T9)/Datos!T9,(Datos!J9+Datos!Z9-(Datos!T9+Datos!AH9))/(Datos!T9+Datos!AH9))," - ")</f>
        <v>8.9083371718102253E-2</v>
      </c>
      <c r="D9" s="515">
        <f>IF(ISNUMBER(
   IF(J_V="SI",(Datos!K9-Datos!U9)/Datos!U9,(Datos!K9+Datos!AA9-(Datos!U9+Datos!AI9))/(Datos!U9+Datos!AI9))
     ),IF(J_V="SI",(Datos!K9-Datos!U9)/Datos!U9,(Datos!K9+Datos!AA9-(Datos!U9+Datos!AI9))/(Datos!U9+Datos!AI9))," - ")</f>
        <v>9.8600376018383118E-2</v>
      </c>
      <c r="E9" s="515">
        <f>IF(ISNUMBER(
   IF(J_V="SI",(Datos!L9-Datos!V9)/Datos!V9,(Datos!L9+Datos!AB9-(Datos!V9+Datos!AJ9))/(Datos!V9+Datos!AJ9))
     ),IF(J_V="SI",(Datos!L9-Datos!V9)/Datos!V9,(Datos!L9+Datos!AB9-(Datos!V9+Datos!AJ9))/(Datos!V9+Datos!AJ9))," - ")</f>
        <v>0.12969805070709645</v>
      </c>
      <c r="F9" s="515">
        <f>IF(ISNUMBER((Datos!M9-Datos!W9)/Datos!W9),(Datos!M9-Datos!W9)/Datos!W9," - ")</f>
        <v>-4.3795620437956208E-3</v>
      </c>
      <c r="G9" s="516">
        <f>IF(ISNUMBER((Datos!N9-Datos!X9)/Datos!X9),(Datos!N9-Datos!X9)/Datos!X9," - ")</f>
        <v>0.18924617817606748</v>
      </c>
      <c r="H9" s="514">
        <f>IF(ISNUMBER(((NºAsuntos!G9/NºAsuntos!E9)-Datos!BD9)/Datos!BD9),((NºAsuntos!G9/NºAsuntos!E9)-Datos!BD9)/Datos!BD9," - ")</f>
        <v>8.7385452275036898E-3</v>
      </c>
      <c r="I9" s="515">
        <f>IF(ISNUMBER(((NºAsuntos!I9/NºAsuntos!G9)-Datos!BE9)/Datos!BE9),((NºAsuntos!I9/NºAsuntos!G9)-Datos!BE9)/Datos!BE9," - ")</f>
        <v>2.8306630297560469E-2</v>
      </c>
      <c r="J9" s="521">
        <f>IF(ISNUMBER((('Resol  Asuntos'!D9/NºAsuntos!G9)-Datos!BF9)/Datos!BF9),(('Resol  Asuntos'!D9/NºAsuntos!G9)-Datos!BF9)/Datos!BF9," - ")</f>
        <v>-0.50912766156428579</v>
      </c>
      <c r="K9" s="522">
        <f>IF(ISNUMBER((((NºAsuntos!C9+NºAsuntos!E9)/NºAsuntos!G9)-Datos!BG9)/Datos!BG9),(((NºAsuntos!C9+NºAsuntos!E9)/NºAsuntos!G9)-Datos!BG9)/Datos!BG9," - ")</f>
        <v>2.7693851970756009E-2</v>
      </c>
    </row>
    <row r="10" spans="1:11">
      <c r="A10" s="450" t="str">
        <f>Datos!A10</f>
        <v>Jdos. Violencia contra la mujer</v>
      </c>
      <c r="B10" s="514">
        <f>IF(ISNUMBER((Datos!I10-Datos!S10)/Datos!S10),(Datos!I10-Datos!S10)/Datos!S10," - ")</f>
        <v>-0.1348314606741573</v>
      </c>
      <c r="C10" s="515">
        <f>IF(ISNUMBER((Datos!J10-Datos!T10)/Datos!T10),(Datos!J10-Datos!T10)/Datos!T10," - ")</f>
        <v>4.0540540540540543E-2</v>
      </c>
      <c r="D10" s="515">
        <f>IF(ISNUMBER((Datos!K10-Datos!U10)/Datos!U10),(Datos!K10-Datos!U10)/Datos!U10," - ")</f>
        <v>-4.0268456375838924E-2</v>
      </c>
      <c r="E10" s="515">
        <f>IF(ISNUMBER((Datos!L10-Datos!V10)/Datos!V10),(Datos!L10-Datos!V10)/Datos!V10," - ")</f>
        <v>0.14285714285714285</v>
      </c>
      <c r="F10" s="515">
        <f>IF(ISNUMBER((Datos!M10-Datos!W10)/Datos!W10),(Datos!M10-Datos!W10)/Datos!W10," - ")</f>
        <v>0</v>
      </c>
      <c r="G10" s="516">
        <f>IF(ISNUMBER((Datos!N10-Datos!X10)/Datos!X10),(Datos!N10-Datos!X10)/Datos!X10," - ")</f>
        <v>-0.2</v>
      </c>
      <c r="H10" s="514">
        <f>IF(ISNUMBER(((NºAsuntos!G10/NºAsuntos!E10)-Datos!BD10)/Datos!BD10),((NºAsuntos!G10/NºAsuntos!E10)-Datos!BD10)/Datos!BD10," - ")</f>
        <v>-7.7660594439117936E-2</v>
      </c>
      <c r="I10" s="515">
        <f>IF(ISNUMBER(((NºAsuntos!I10/NºAsuntos!G10)-Datos!BE10)/Datos!BE10),((NºAsuntos!I10/NºAsuntos!G10)-Datos!BE10)/Datos!BE10," - ")</f>
        <v>0.19080919080919082</v>
      </c>
      <c r="J10" s="521">
        <f>IF(ISNUMBER((('Resol  Asuntos'!D10/NºAsuntos!G10)-Datos!BF10)/Datos!BF10),(('Resol  Asuntos'!D10/NºAsuntos!G10)-Datos!BF10)/Datos!BF10," - ")</f>
        <v>4.1958041958041911E-2</v>
      </c>
      <c r="K10" s="522">
        <f>IF(ISNUMBER((((NºAsuntos!C10+NºAsuntos!E10)/NºAsuntos!G10)-Datos!BG10)/Datos!BG10),(((NºAsuntos!C10+NºAsuntos!E10)/NºAsuntos!G10)-Datos!BG10)/Datos!BG10," - ")</f>
        <v>1.5579357351509249E-2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f>IF(ISNUMBER((Datos!N12-Datos!X12)/Datos!X12),(Datos!N12-Datos!X12)/Datos!X12," - ")</f>
        <v>0</v>
      </c>
      <c r="H12" s="514" t="str">
        <f>IF(ISNUMBER(((NºAsuntos!G12/NºAsuntos!E12)-Datos!BD12)/Datos!BD12),((NºAsuntos!G12/NºAsuntos!E12)-Datos!BD12)/Datos!BD12," - ")</f>
        <v xml:space="preserve"> - </v>
      </c>
      <c r="I12" s="515">
        <f>IF(ISNUMBER(((NºAsuntos!I12/NºAsuntos!G12)-Datos!BE12)/Datos!BE12),((NºAsuntos!I12/NºAsuntos!G12)-Datos!BE12)/Datos!BE12," - ")</f>
        <v>-0.24999999999999994</v>
      </c>
      <c r="J12" s="521">
        <f>IF(ISNUMBER((('Resol  Asuntos'!D12/NºAsuntos!G12)-Datos!BF12)/Datos!BF12),(('Resol  Asuntos'!D12/NºAsuntos!G12)-Datos!BF12)/Datos!BF12," - ")</f>
        <v>-1</v>
      </c>
      <c r="K12" s="522">
        <f>IF(ISNUMBER((((NºAsuntos!C12+NºAsuntos!E12)/NºAsuntos!G12)-Datos!BG12)/Datos!BG12),(((NºAsuntos!C12+NºAsuntos!E12)/NºAsuntos!G12)-Datos!BG12)/Datos!BG12," - ")</f>
        <v>-0.1428571428571429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0.18885727122959414</v>
      </c>
      <c r="C14" s="1152">
        <f>IF(ISNUMBER(
   IF(J_V="SI",(Datos!J14-Datos!T14)/Datos!T14,(Datos!J14+Datos!Z14-(Datos!T14+Datos!AH14))/(Datos!T14+Datos!AH14))
     ),IF(J_V="SI",(Datos!J14-Datos!T14)/Datos!T14,(Datos!J14+Datos!Z14-(Datos!T14+Datos!AH14))/(Datos!T14+Datos!AH14))," - ")</f>
        <v>8.8331515812431843E-2</v>
      </c>
      <c r="D14" s="1152">
        <f>IF(ISNUMBER(
   IF(J_V="SI",(Datos!K14-Datos!U14)/Datos!U14,(Datos!K14+Datos!AA14-(Datos!U14+Datos!AI14))/(Datos!U14+Datos!AI14))
     ),IF(J_V="SI",(Datos!K14-Datos!U14)/Datos!U14,(Datos!K14+Datos!AA14-(Datos!U14+Datos!AI14))/(Datos!U14+Datos!AI14))," - ")</f>
        <v>9.6074804767776412E-2</v>
      </c>
      <c r="E14" s="1152">
        <f>IF(ISNUMBER(
   IF(J_V="SI",(Datos!L14-Datos!V14)/Datos!V14,(Datos!L14+Datos!AB14-(Datos!V14+Datos!AJ14))/(Datos!V14+Datos!AJ14))
     ),IF(J_V="SI",(Datos!L14-Datos!V14)/Datos!V14,(Datos!L14+Datos!AB14-(Datos!V14+Datos!AJ14))/(Datos!V14+Datos!AJ14))," - ")</f>
        <v>0.12887377173091458</v>
      </c>
      <c r="F14" s="1153">
        <f>IF(ISNUMBER((Datos!M14-Datos!W14)/Datos!W14),(Datos!M14-Datos!W14)/Datos!W14," - ")</f>
        <v>-4.2816365366317791E-3</v>
      </c>
      <c r="G14" s="1154">
        <f>IF(ISNUMBER((Datos!N14-Datos!X14)/Datos!X14),(Datos!N14-Datos!X14)/Datos!X14," - ")</f>
        <v>0.18259518259518259</v>
      </c>
      <c r="H14" s="1154">
        <f>IF(ISNUMBER(((NºAsuntos!G14/NºAsuntos!E14)-Datos!BD14)/Datos!BD14),((NºAsuntos!G14/NºAsuntos!E14)-Datos!BD14)/Datos!BD14," - ")</f>
        <v>7.1148256232975065E-3</v>
      </c>
      <c r="I14" s="1154">
        <f>IF(ISNUMBER(((NºAsuntos!I14/NºAsuntos!G14)-Datos!BE14)/Datos!BE14),((NºAsuntos!I14/NºAsuntos!G14)-Datos!BE14)/Datos!BE14," - ")</f>
        <v>2.9924022357294515E-2</v>
      </c>
      <c r="J14" s="1154">
        <f>IF(ISNUMBER((('Resol  Asuntos'!D14/NºAsuntos!G14)-Datos!BF14)/Datos!BF14),(('Resol  Asuntos'!D14/NºAsuntos!G14)-Datos!BF14)/Datos!BF14," - ")</f>
        <v>-0.5031118392304339</v>
      </c>
      <c r="K14" s="1154">
        <f>IF(ISNUMBER((((NºAsuntos!C14+NºAsuntos!E14)/NºAsuntos!G14)-Datos!BG14)/Datos!BG14),(((NºAsuntos!C14+NºAsuntos!E14)/NºAsuntos!G14)-Datos!BG14)/Datos!BG14," - ")</f>
        <v>2.7570159231686899E-2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-0.11633663366336634</v>
      </c>
      <c r="C16" s="515">
        <f>IF(ISNUMBER(
   IF(D_I="SI",(Datos!J16-Datos!T16)/Datos!T16,(Datos!J16+Datos!AD16-(Datos!T16+Datos!AL16))/(Datos!T16+Datos!AL16))
     ),IF(D_I="SI",(Datos!J16-Datos!T16)/Datos!T16,(Datos!J16+Datos!AD16-(Datos!T16+Datos!AL16))/(Datos!T16+Datos!AL16))," - ")</f>
        <v>2.317760407198691E-2</v>
      </c>
      <c r="D16" s="515">
        <f>IF(ISNUMBER(
   IF(D_I="SI",(Datos!K16-Datos!U16)/Datos!U16,(Datos!K16+Datos!AE16-(Datos!U16+Datos!AM16))/(Datos!U16+Datos!AM16))
     ),IF(D_I="SI",(Datos!K16-Datos!U16)/Datos!U16,(Datos!K16+Datos!AE16-(Datos!U16+Datos!AM16))/(Datos!U16+Datos!AM16))," - ")</f>
        <v>1.124978027772895E-2</v>
      </c>
      <c r="E16" s="515">
        <f>IF(ISNUMBER(
   IF(D_I="SI",(Datos!L16-Datos!V16)/Datos!V16,(Datos!L16+Datos!AF16-(Datos!V16+Datos!AN16))/(Datos!V16+Datos!AN16))
     ),IF(D_I="SI",(Datos!L16-Datos!V16)/Datos!V16,(Datos!L16+Datos!AF16-(Datos!V16+Datos!AN16))/(Datos!V16+Datos!AN16))," - ")</f>
        <v>-8.5084033613445381E-2</v>
      </c>
      <c r="F16" s="515">
        <f>IF(ISNUMBER((Datos!M16-Datos!W16)/Datos!W16),(Datos!M16-Datos!W16)/Datos!W16," - ")</f>
        <v>2.0558002936857563E-2</v>
      </c>
      <c r="G16" s="516">
        <f>IF(ISNUMBER((Datos!N16-Datos!X16)/Datos!X16),(Datos!N16-Datos!X16)/Datos!X16," - ")</f>
        <v>-5.5583628094997471E-2</v>
      </c>
      <c r="H16" s="514">
        <f>IF(ISNUMBER(((NºAsuntos!G16/NºAsuntos!E16)-Datos!BD16)/Datos!BD16),((NºAsuntos!G16/NºAsuntos!E16)-Datos!BD16)/Datos!BD16," - ")</f>
        <v>-1.165762791013825E-2</v>
      </c>
      <c r="I16" s="515">
        <f>IF(ISNUMBER(((NºAsuntos!I16/NºAsuntos!G16)-Datos!BE16)/Datos!BE16),((NºAsuntos!I16/NºAsuntos!G16)-Datos!BE16)/Datos!BE16," - ")</f>
        <v>-9.5262135794696751E-2</v>
      </c>
      <c r="J16" s="521">
        <f>IF(ISNUMBER((('Resol  Asuntos'!D16/NºAsuntos!G16)-Datos!BF16)/Datos!BF16),(('Resol  Asuntos'!D16/NºAsuntos!G16)-Datos!BF16)/Datos!BF16," - ")</f>
        <v>9.2046721202472728E-3</v>
      </c>
      <c r="K16" s="522">
        <f>IF(ISNUMBER((((NºAsuntos!C16+NºAsuntos!E16)/NºAsuntos!G16)-Datos!BG16)/Datos!BG16),(((NºAsuntos!C16+NºAsuntos!E16)/NºAsuntos!G16)-Datos!BG16)/Datos!BG16," - ")</f>
        <v>-1.9530835467604975E-2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-0.23076923076923078</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-0.75</v>
      </c>
      <c r="E17" s="515">
        <f>IF(ISNUMBER(
   IF(D_I="SI",(Datos!L17-Datos!V17)/Datos!V17,(Datos!L17+Datos!AF17-(Datos!V17+Datos!AN17))/(Datos!V17+Datos!AN17))
     ),IF(D_I="SI",(Datos!L17-Datos!V17)/Datos!V17,(Datos!L17+Datos!AF17-(Datos!V17+Datos!AN17))/(Datos!V17+Datos!AN17))," - ")</f>
        <v>-0.1</v>
      </c>
      <c r="F17" s="515" t="str">
        <f>IF(ISNUMBER((Datos!M17-Datos!W17)/Datos!W17),(Datos!M17-Datos!W17)/Datos!W17," - ")</f>
        <v xml:space="preserve"> - </v>
      </c>
      <c r="G17" s="516">
        <f>IF(ISNUMBER((Datos!N17-Datos!X17)/Datos!X17),(Datos!N17-Datos!X17)/Datos!X17," - ")</f>
        <v>0</v>
      </c>
      <c r="H17" s="514" t="str">
        <f>IF(ISNUMBER(((NºAsuntos!G17/NºAsuntos!E17)-Datos!BD17)/Datos!BD17),((NºAsuntos!G17/NºAsuntos!E17)-Datos!BD17)/Datos!BD17," - ")</f>
        <v xml:space="preserve"> - </v>
      </c>
      <c r="I17" s="515">
        <f>IF(ISNUMBER(((NºAsuntos!I17/NºAsuntos!G17)-Datos!BE17)/Datos!BE17),((NºAsuntos!I17/NºAsuntos!G17)-Datos!BE17)/Datos!BE17," - ")</f>
        <v>2.6</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2.0769230769230771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0.26315789473684209</v>
      </c>
      <c r="C18" s="515">
        <f>IF(ISNUMBER(
   IF(D_I="SI",(Datos!J18-Datos!T18)/Datos!T18,(Datos!J18+Datos!AD18-(Datos!T18+Datos!AL18))/(Datos!T18+Datos!AL18))
     ),IF(D_I="SI",(Datos!J18-Datos!T18)/Datos!T18,(Datos!J18+Datos!AD18-(Datos!T18+Datos!AL18))/(Datos!T18+Datos!AL18))," - ")</f>
        <v>0.17923497267759564</v>
      </c>
      <c r="D18" s="515">
        <f>IF(ISNUMBER(
   IF(D_I="SI",(Datos!K18-Datos!U18)/Datos!U18,(Datos!K18+Datos!AE18-(Datos!U18+Datos!AM18))/(Datos!U18+Datos!AM18))
     ),IF(D_I="SI",(Datos!K18-Datos!U18)/Datos!U18,(Datos!K18+Datos!AE18-(Datos!U18+Datos!AM18))/(Datos!U18+Datos!AM18))," - ")</f>
        <v>0.11123348017621146</v>
      </c>
      <c r="E18" s="515">
        <f>IF(ISNUMBER(
   IF(D_I="SI",(Datos!L18-Datos!V18)/Datos!V18,(Datos!L18+Datos!AF18-(Datos!V18+Datos!AN18))/(Datos!V18+Datos!AN18))
     ),IF(D_I="SI",(Datos!L18-Datos!V18)/Datos!V18,(Datos!L18+Datos!AF18-(Datos!V18+Datos!AN18))/(Datos!V18+Datos!AN18))," - ")</f>
        <v>0.32500000000000001</v>
      </c>
      <c r="F18" s="515">
        <f>IF(ISNUMBER((Datos!M18-Datos!W18)/Datos!W18),(Datos!M18-Datos!W18)/Datos!W18," - ")</f>
        <v>2.4896265560165973E-2</v>
      </c>
      <c r="G18" s="516">
        <f>IF(ISNUMBER((Datos!N18-Datos!X18)/Datos!X18),(Datos!N18-Datos!X18)/Datos!X18," - ")</f>
        <v>0.45394736842105265</v>
      </c>
      <c r="H18" s="514">
        <f>IF(ISNUMBER(((NºAsuntos!G18/NºAsuntos!E18)-Datos!BD18)/Datos!BD18),((NºAsuntos!G18/NºAsuntos!E18)-Datos!BD18)/Datos!BD18," - ")</f>
        <v>-5.7665769822767832E-2</v>
      </c>
      <c r="I18" s="515">
        <f>IF(ISNUMBER(((NºAsuntos!I18/NºAsuntos!G18)-Datos!BE18)/Datos!BE18),((NºAsuntos!I18/NºAsuntos!G18)-Datos!BE18)/Datos!BE18," - ")</f>
        <v>0.19236868186323094</v>
      </c>
      <c r="J18" s="521">
        <f>IF(ISNUMBER((('Resol  Asuntos'!D18/NºAsuntos!G18)-Datos!BF18)/Datos!BF18),(('Resol  Asuntos'!D18/NºAsuntos!G18)-Datos!BF18)/Datos!BF18," - ")</f>
        <v>-7.7694936443378909E-2</v>
      </c>
      <c r="K18" s="522">
        <f>IF(ISNUMBER((((NºAsuntos!C18+NºAsuntos!E18)/NºAsuntos!G18)-Datos!BG18)/Datos!BG18),(((NºAsuntos!C18+NºAsuntos!E18)/NºAsuntos!G18)-Datos!BG18)/Datos!BG18," - ")</f>
        <v>6.8298187598739915E-2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-0.10598802395209581</v>
      </c>
      <c r="C23" s="1152">
        <f>IF(ISNUMBER(
   IF(Criterios!B14="SI",(Datos!J23-Datos!T23)/Datos!T23,(Datos!J23+Datos!AD23-(Datos!T23+Datos!AL23))/(Datos!T23+Datos!AL23))
     ),IF(Criterios!B14="SI",(Datos!J23-Datos!T23)/Datos!T23,(Datos!J23+Datos!AD23-(Datos!T23+Datos!AL23))/(Datos!T23+Datos!AL23))," - ")</f>
        <v>3.5159855668372909E-2</v>
      </c>
      <c r="D23" s="1152">
        <f>IF(ISNUMBER(
   IF(Criterios!B14="SI",(Datos!K23-Datos!U23)/Datos!U23,(Datos!K23+Datos!AE23-(Datos!U23+Datos!AM23))/(Datos!U23+Datos!AM23))
     ),IF(Criterios!B14="SI",(Datos!K23-Datos!U23)/Datos!U23,(Datos!K23+Datos!AE23-(Datos!U23+Datos!AM23))/(Datos!U23+Datos!AM23))," - ")</f>
        <v>1.8388934092758342E-2</v>
      </c>
      <c r="E23" s="1152">
        <f>IF(ISNUMBER(
   IF(Criterios!B14="SI",(Datos!L23-Datos!V23)/Datos!V23,(Datos!L23+Datos!AF23-(Datos!V23+Datos!AN23))/(Datos!V23+Datos!AN23))
     ),IF(Criterios!B14="SI",(Datos!L23-Datos!V23)/Datos!V23,(Datos!L23+Datos!AF23-(Datos!V23+Datos!AN23))/(Datos!V23+Datos!AN23))," - ")</f>
        <v>-6.865371734762224E-2</v>
      </c>
      <c r="F23" s="1153">
        <f>IF(ISNUMBER((Datos!M23-Datos!W23)/Datos!W23),(Datos!M23-Datos!W23)/Datos!W23," - ")</f>
        <v>2.1210230817217717E-2</v>
      </c>
      <c r="G23" s="1154">
        <f>IF(ISNUMBER((Datos!N23-Datos!X23)/Datos!X23),(Datos!N23-Datos!X23)/Datos!X23," - ")</f>
        <v>-2.7827540905290816E-2</v>
      </c>
      <c r="H23" s="1154">
        <f>IF(ISNUMBER(((NºAsuntos!G23/NºAsuntos!E23)-Datos!BD23)/Datos!BD23),((NºAsuntos!G23/NºAsuntos!E23)-Datos!BD23)/Datos!BD23," - ")</f>
        <v>-1.6201286674497422E-2</v>
      </c>
      <c r="I23" s="1154">
        <f>IF(ISNUMBER(((NºAsuntos!I23/NºAsuntos!G23)-Datos!BE23)/Datos!BE23),((NºAsuntos!I23/NºAsuntos!G23)-Datos!BE23)/Datos!BE23," - ")</f>
        <v>-8.54709321030903E-2</v>
      </c>
      <c r="J23" s="1154">
        <f>IF(ISNUMBER((('Resol  Asuntos'!D23/NºAsuntos!G23)-Datos!BF23)/Datos!BF23),(('Resol  Asuntos'!D23/NºAsuntos!G23)-Datos!BF23)/Datos!BF23," - ")</f>
        <v>2.770352887792202E-3</v>
      </c>
      <c r="K23" s="1154">
        <f>IF(ISNUMBER((((NºAsuntos!C23+NºAsuntos!E23)/NºAsuntos!G23)-Datos!BG23)/Datos!BG23),(((NºAsuntos!C23+NºAsuntos!E23)/NºAsuntos!G23)-Datos!BG23)/Datos!BG23," - ")</f>
        <v>-1.3873476138129226E-2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9.0546071678147155E-2</v>
      </c>
      <c r="C31" s="1092">
        <f>IF(ISNUMBER(
   IF(J_V="SI",(Datos!J31-Datos!T31)/Datos!T31,(Datos!J31+Datos!Z31-(Datos!T31+Datos!AH31))/(Datos!T31+Datos!AH31))
     ),IF(J_V="SI",(Datos!J31-Datos!T31)/Datos!T31,(Datos!J31+Datos!Z31-(Datos!T31+Datos!AH31))/(Datos!T31+Datos!AH31))," - ")</f>
        <v>6.0686706513677413E-2</v>
      </c>
      <c r="D31" s="1092">
        <f>IF(ISNUMBER(
   IF(J_V="SI",(Datos!K31-Datos!U31)/Datos!U31,(Datos!K31+Datos!AA31-(Datos!U31+Datos!AI31))/(Datos!U31+Datos!AI31))
     ),IF(J_V="SI",(Datos!K31-Datos!U31)/Datos!U31,(Datos!K31+Datos!AA31-(Datos!U31+Datos!AI31))/(Datos!U31+Datos!AI31))," - ")</f>
        <v>5.2720007265461812E-2</v>
      </c>
      <c r="E31" s="1092">
        <f>IF(ISNUMBER(
   IF(J_V="SI",(Datos!L31-Datos!V31)/Datos!V31,(Datos!L31+Datos!AB31-(Datos!V31+Datos!AJ31))/(Datos!V31+Datos!AJ31))
     ),IF(J_V="SI",(Datos!L31-Datos!V31)/Datos!V31,(Datos!L31+Datos!AB31-(Datos!V31+Datos!AJ31))/(Datos!V31+Datos!AJ31))," - ")</f>
        <v>7.4880995972171363E-2</v>
      </c>
      <c r="F31" s="1093">
        <f>IF(ISNUMBER((Datos!M31-Datos!W31)/Datos!W31),(Datos!M31-Datos!W31)/Datos!W31," - ")</f>
        <v>6.7476383265856954E-3</v>
      </c>
      <c r="G31" s="1094">
        <f>IF(ISNUMBER((Datos!N31-Datos!X31)/Datos!X31),(Datos!N31-Datos!X31)/Datos!X31," - ")</f>
        <v>3.8581003760013076E-2</v>
      </c>
      <c r="H31" s="1095">
        <f>IF(ISNUMBER((Tasas!B31-Datos!BD31)/Datos!BD31),(Tasas!B31-Datos!BD31)/Datos!BD31," - ")</f>
        <v>-7.5108881814885372E-3</v>
      </c>
      <c r="I31" s="1096">
        <f>IF(ISNUMBER((Tasas!C31-Datos!BE31)/Datos!BE31),(Tasas!C31-Datos!BE31)/Datos!BE31," - ")</f>
        <v>2.1051170827725452E-2</v>
      </c>
      <c r="J31" s="1097">
        <f>IF(ISNUMBER((Tasas!D31-Datos!BF31)/Datos!BF31),(Tasas!D31-Datos!BF31)/Datos!BF31," - ")</f>
        <v>-0.34939361980406936</v>
      </c>
      <c r="K31" s="1097">
        <f>IF(ISNUMBER((Tasas!E31-Datos!BG31)/Datos!BG31),(Tasas!E31-Datos!BG31)/Datos!BG31," - ")</f>
        <v>1.6193702482472563E-2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ZLLzLENMBQrrshpCGuHnAedik/HyhbgVlFJ2dOtR9YvOBGbiIYs+PVmZIkOHsOORvZL0pWyXU/RGlb6xArPfA==" saltValue="S5Qt2BLbRVA1yeWT3uo9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 BARTOLOME DE TIRAJANA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0.88969717475892407</v>
      </c>
      <c r="C9" s="498">
        <f>IF(ISNUMBER(NºAsuntos!I9/NºAsuntos!G9),NºAsuntos!I9/NºAsuntos!G9," - ")</f>
        <v>0.84303099448564367</v>
      </c>
      <c r="D9" s="499">
        <f>IF(ISNUMBER('Resol  Asuntos'!D9/NºAsuntos!G9),'Resol  Asuntos'!D9/NºAsuntos!G9," - ")</f>
        <v>0.19452367370222476</v>
      </c>
      <c r="E9" s="500">
        <f>IF(ISNUMBER((NºAsuntos!C9+NºAsuntos!E9)/NºAsuntos!G9),(NºAsuntos!C9+NºAsuntos!E9)/NºAsuntos!G9," - ")</f>
        <v>1.8702224757558472</v>
      </c>
      <c r="G9" s="523"/>
    </row>
    <row r="10" spans="1:7">
      <c r="A10" s="450" t="str">
        <f>Datos!A10</f>
        <v>Jdos. Violencia contra la mujer</v>
      </c>
      <c r="B10" s="497">
        <f>IF(ISNUMBER(NºAsuntos!G10/NºAsuntos!E10),NºAsuntos!G10/NºAsuntos!E10," - ")</f>
        <v>0.9285714285714286</v>
      </c>
      <c r="C10" s="498">
        <f>IF(ISNUMBER(NºAsuntos!I10/NºAsuntos!G10),NºAsuntos!I10/NºAsuntos!G10," - ")</f>
        <v>0.61538461538461542</v>
      </c>
      <c r="D10" s="499">
        <f>IF(ISNUMBER('Resol  Asuntos'!D10/NºAsuntos!G10),'Resol  Asuntos'!D10/NºAsuntos!G10," - ")</f>
        <v>0.32867132867132864</v>
      </c>
      <c r="E10" s="500">
        <f>IF(ISNUMBER((NºAsuntos!C10+NºAsuntos!E10)/NºAsuntos!G10),(NºAsuntos!C10+NºAsuntos!E10)/NºAsuntos!G10," - ")</f>
        <v>1.6153846153846154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1</v>
      </c>
      <c r="D12" s="499">
        <f>IF(ISNUMBER('Resol  Asuntos'!D12/NºAsuntos!G12),'Resol  Asuntos'!D12/NºAsuntos!G12," - ")</f>
        <v>0</v>
      </c>
      <c r="E12" s="500">
        <f>IF(ISNUMBER((NºAsuntos!C12+NºAsuntos!E12)/NºAsuntos!G12),(NºAsuntos!C12+NºAsuntos!E12)/NºAsuntos!G12," - ")</f>
        <v>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0.89069806279225117</v>
      </c>
      <c r="C14" s="1156">
        <f>IF(ISNUMBER(NºAsuntos!I14/NºAsuntos!G14),NºAsuntos!I14/NºAsuntos!G14," - ")</f>
        <v>0.84006749789069091</v>
      </c>
      <c r="D14" s="1157">
        <f>IF(ISNUMBER('Resol  Asuntos'!D14/NºAsuntos!G14),'Resol  Asuntos'!D14/NºAsuntos!G14," - ")</f>
        <v>0.19621261835567638</v>
      </c>
      <c r="E14" s="1158">
        <f>IF(ISNUMBER((NºAsuntos!C14+NºAsuntos!E14)/NºAsuntos!G14),(NºAsuntos!C14+NºAsuntos!E14)/NºAsuntos!G14," - ")</f>
        <v>1.8668791600262491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1.0221195700453052</v>
      </c>
      <c r="C16" s="498">
        <f>IF(ISNUMBER(NºAsuntos!I16/NºAsuntos!G16),NºAsuntos!I16/NºAsuntos!G16," - ")</f>
        <v>0.22709890491917262</v>
      </c>
      <c r="D16" s="499">
        <f>IF(ISNUMBER('Resol  Asuntos'!D16/NºAsuntos!G16),'Resol  Asuntos'!D16/NºAsuntos!G16," - ")</f>
        <v>0.12080653572049366</v>
      </c>
      <c r="E16" s="500">
        <f>IF(ISNUMBER((NºAsuntos!C16+NºAsuntos!E16)/NºAsuntos!G16),(NºAsuntos!C16+NºAsuntos!E16)/NºAsuntos!G16," - ")</f>
        <v>1.2265774378585086</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9</v>
      </c>
      <c r="D17" s="499">
        <f>IF(ISNUMBER('Resol  Asuntos'!D17/NºAsuntos!G17),'Resol  Asuntos'!D17/NºAsuntos!G17," - ")</f>
        <v>0</v>
      </c>
      <c r="E17" s="500">
        <f>IF(ISNUMBER((NºAsuntos!C17+NºAsuntos!E17)/NºAsuntos!G17),(NºAsuntos!C17+NºAsuntos!E17)/NºAsuntos!G17," - ")</f>
        <v>10</v>
      </c>
      <c r="G17" s="523"/>
    </row>
    <row r="18" spans="1:7">
      <c r="A18" s="450" t="str">
        <f>Datos!A18</f>
        <v>Jdos. Violencia contra la mujer</v>
      </c>
      <c r="B18" s="497">
        <f>IF(ISNUMBER(NºAsuntos!G18/NºAsuntos!E18),NºAsuntos!G18/NºAsuntos!E18," - ")</f>
        <v>0.93512511584800739</v>
      </c>
      <c r="C18" s="498">
        <f>IF(ISNUMBER(NºAsuntos!I18/NºAsuntos!G18),NºAsuntos!I18/NºAsuntos!G18," - ")</f>
        <v>0.15758176412289396</v>
      </c>
      <c r="D18" s="499">
        <f>IF(ISNUMBER('Resol  Asuntos'!D18/NºAsuntos!G18),'Resol  Asuntos'!D18/NºAsuntos!G18," - ")</f>
        <v>0.24479682854311199</v>
      </c>
      <c r="E18" s="500">
        <f>IF(ISNUMBER((NºAsuntos!C18+NºAsuntos!E18)/NºAsuntos!G18),(NºAsuntos!C18+NºAsuntos!E18)/NºAsuntos!G18," - ")</f>
        <v>1.1883052527254707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1.0145914396887159</v>
      </c>
      <c r="C23" s="1156">
        <f>IF(ISNUMBER(NºAsuntos!I23/NºAsuntos!G23),NºAsuntos!I23/NºAsuntos!G23," - ")</f>
        <v>0.22219558964525407</v>
      </c>
      <c r="D23" s="1159">
        <f>IF(ISNUMBER('Resol  Asuntos'!D23/NºAsuntos!G23),'Resol  Asuntos'!D23/NºAsuntos!G23," - ")</f>
        <v>0.13079258549057207</v>
      </c>
      <c r="E23" s="1158">
        <f>IF(ISNUMBER((NºAsuntos!C23+NºAsuntos!E23)/NºAsuntos!G23),(NºAsuntos!C23+NºAsuntos!E23)/NºAsuntos!G23," - ")</f>
        <v>1.2241930329178652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0.9535620269825601</v>
      </c>
      <c r="C31" s="1099">
        <f>IF(ISNUMBER(NºAsuntos!I31/NºAsuntos!G31),NºAsuntos!I31/NºAsuntos!G31," - ")</f>
        <v>0.50649182590691455</v>
      </c>
      <c r="D31" s="1100">
        <f>IF(ISNUMBER('Resol  Asuntos'!D31/NºAsuntos!G31),'Resol  Asuntos'!D31/NºAsuntos!G31," - ")</f>
        <v>0.16089375835741707</v>
      </c>
      <c r="E31" s="1101">
        <f>IF(ISNUMBER((NºAsuntos!C31+NºAsuntos!E31)/NºAsuntos!G31),(NºAsuntos!C31+NºAsuntos!E31)/NºAsuntos!G31," - ")</f>
        <v>1.5199068282793426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9/joCtB1fM4t8kP5CQlS+GxaTuhmDBrzuWkTHI4akBspfSIkr5cVsCVLMSLMSVQqEAfBOD67eOdP/lkx0HbsA==" saltValue="nNUgS7tdfMasFUmK5a0P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2074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876</v>
      </c>
      <c r="Y9" s="374">
        <f>SUM(W9:X9)</f>
        <v>876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9747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2046</v>
      </c>
      <c r="AJ9" s="243" t="str">
        <f>IF(ISNUMBER(Datos!BW9),Datos!BW9," - ")</f>
        <v xml:space="preserve"> - </v>
      </c>
      <c r="AK9" s="242" t="str">
        <f>IF(ISNUMBER(Datos!BX9),Datos!BX9," - ")</f>
        <v xml:space="preserve"> - </v>
      </c>
      <c r="AL9" s="266">
        <f>IF(ISNUMBER(NºAsuntos!G9/NºAsuntos!E9),NºAsuntos!G9/NºAsuntos!E9," - ")</f>
        <v>0.88969717475892407</v>
      </c>
      <c r="AM9" s="284">
        <f>IF(ISNUMBER(((NºAsuntos!I9/NºAsuntos!G9)*11)/factor_trimestre),((NºAsuntos!I9/NºAsuntos!G9)*11)/factor_trimestre," - ")</f>
        <v>9.2733409393420807</v>
      </c>
      <c r="AN9" s="267">
        <f>IF(ISNUMBER('Resol  Asuntos'!D9/NºAsuntos!G9),'Resol  Asuntos'!D9/NºAsuntos!G9," - ")</f>
        <v>0.19452367370222476</v>
      </c>
      <c r="AO9" s="268">
        <f>IF(ISNUMBER((NºAsuntos!C9+NºAsuntos!E9)/NºAsuntos!G9),(NºAsuntos!C9+NºAsuntos!E9)/NºAsuntos!G9," - ")</f>
        <v>1.8702224757558472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77</v>
      </c>
      <c r="G10" s="373">
        <f>IF(ISNUMBER(Datos!I10),Datos!I10," - ")</f>
        <v>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143</v>
      </c>
      <c r="X10" s="240">
        <f>IF(ISNUMBER(Datos!Q10),Datos!Q10," - ")</f>
        <v>22</v>
      </c>
      <c r="Y10" s="374">
        <f t="shared" ref="Y10:Y13" si="0">SUM(W10:X10)</f>
        <v>165</v>
      </c>
      <c r="Z10" s="375" t="str">
        <f>IF(ISNUMBER(Datos!CC10),Datos!CC10," - ")</f>
        <v xml:space="preserve"> - </v>
      </c>
      <c r="AA10" s="372">
        <f>IF(ISNUMBER(Datos!L10),Datos!L10,"-")</f>
        <v>88</v>
      </c>
      <c r="AB10" s="374">
        <f>IF(ISNUMBER(Datos!R10),Datos!R10," - ")</f>
        <v>45</v>
      </c>
      <c r="AC10" s="374">
        <f t="shared" ref="AC10:AC13" si="1">IF(ISNUMBER(AA10+AB10),AA10+AB10," - ")</f>
        <v>133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47</v>
      </c>
      <c r="AJ10" s="245" t="str">
        <f>IF(ISNUMBER(Datos!BW10),Datos!BW10," - ")</f>
        <v xml:space="preserve"> - </v>
      </c>
      <c r="AK10" s="246" t="str">
        <f>IF(ISNUMBER(Datos!BX10),Datos!BX10," - ")</f>
        <v xml:space="preserve"> - </v>
      </c>
      <c r="AL10" s="266">
        <f>IF(ISNUMBER(NºAsuntos!G10/NºAsuntos!E10),NºAsuntos!G10/NºAsuntos!E10," - ")</f>
        <v>0.9285714285714286</v>
      </c>
      <c r="AM10" s="284">
        <f>IF(ISNUMBER(((NºAsuntos!I10/NºAsuntos!G10)*11)/factor_trimestre),((NºAsuntos!I10/NºAsuntos!G10)*11)/factor_trimestre," - ")</f>
        <v>6.7692307692307701</v>
      </c>
      <c r="AN10" s="267">
        <f>IF(ISNUMBER('Resol  Asuntos'!D10/NºAsuntos!G10),'Resol  Asuntos'!D10/NºAsuntos!G10," - ")</f>
        <v>0.32867132867132864</v>
      </c>
      <c r="AO10" s="268">
        <f>IF(ISNUMBER((NºAsuntos!C10+NºAsuntos!E10)/NºAsuntos!G10),(NºAsuntos!C10+NºAsuntos!E10)/NºAsuntos!G10," - ")</f>
        <v>1.6153846153846154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112</v>
      </c>
      <c r="Y12" s="374">
        <f t="shared" si="0"/>
        <v>112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11</v>
      </c>
      <c r="AN12" s="267">
        <f>IF(ISNUMBER('Resol  Asuntos'!D12/NºAsuntos!G12),'Resol  Asuntos'!D12/NºAsuntos!G12," - ")</f>
        <v>0</v>
      </c>
      <c r="AO12" s="268">
        <f>IF(ISNUMBER((NºAsuntos!C12+NºAsuntos!E12)/NºAsuntos!G12),(NºAsuntos!C12+NºAsuntos!E12)/NºAsuntos!G12," - ")</f>
        <v>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77</v>
      </c>
      <c r="G14" s="1163">
        <f t="shared" si="5"/>
        <v>77</v>
      </c>
      <c r="H14" s="1162">
        <f t="shared" si="5"/>
        <v>0</v>
      </c>
      <c r="I14" s="1164">
        <f t="shared" si="5"/>
        <v>0</v>
      </c>
      <c r="J14" s="1164">
        <f t="shared" si="5"/>
        <v>0</v>
      </c>
      <c r="K14" s="1164">
        <f t="shared" si="5"/>
        <v>0</v>
      </c>
      <c r="L14" s="1164">
        <f t="shared" si="5"/>
        <v>2088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143</v>
      </c>
      <c r="X14" s="1164">
        <f t="shared" si="6"/>
        <v>1010</v>
      </c>
      <c r="Y14" s="1165">
        <f t="shared" si="6"/>
        <v>1153</v>
      </c>
      <c r="Z14" s="1165">
        <f t="shared" si="6"/>
        <v>0</v>
      </c>
      <c r="AA14" s="1165">
        <f t="shared" si="6"/>
        <v>88</v>
      </c>
      <c r="AB14" s="1165">
        <f t="shared" si="6"/>
        <v>10421</v>
      </c>
      <c r="AC14" s="1165">
        <f t="shared" si="6"/>
        <v>133</v>
      </c>
      <c r="AD14" s="1165">
        <f t="shared" si="6"/>
        <v>0</v>
      </c>
      <c r="AE14" s="1169">
        <f t="shared" si="6"/>
        <v>0</v>
      </c>
      <c r="AF14" s="1162">
        <f t="shared" si="6"/>
        <v>0</v>
      </c>
      <c r="AG14" s="1170">
        <f t="shared" si="6"/>
        <v>0</v>
      </c>
      <c r="AH14" s="1167">
        <f t="shared" si="6"/>
        <v>0</v>
      </c>
      <c r="AI14" s="1162">
        <f t="shared" si="6"/>
        <v>2093</v>
      </c>
      <c r="AJ14" s="1164">
        <f t="shared" si="6"/>
        <v>0</v>
      </c>
      <c r="AK14" s="1167">
        <f>SUBTOTAL(9,AK9:AK13)</f>
        <v>0</v>
      </c>
      <c r="AL14" s="1171">
        <f>IF(ISNUMBER(NºAsuntos!G14/NºAsuntos!E14),NºAsuntos!G14/NºAsuntos!E14," - ")</f>
        <v>0.89069806279225117</v>
      </c>
      <c r="AM14" s="1171">
        <f>IF(ISNUMBER(((NºAsuntos!I14/NºAsuntos!G14)*11)/factor_trimestre),((NºAsuntos!I14/NºAsuntos!G14)*11)/factor_trimestre," - ")</f>
        <v>9.2407424767975996</v>
      </c>
      <c r="AN14" s="1172">
        <f>IF(ISNUMBER('Resol  Asuntos'!D14/NºAsuntos!G14),'Resol  Asuntos'!D14/NºAsuntos!G14," - ")</f>
        <v>0.19621261835567638</v>
      </c>
      <c r="AO14" s="1173">
        <f>IF(ISNUMBER((NºAsuntos!C14+NºAsuntos!E14)/NºAsuntos!G14),(NºAsuntos!C14+NºAsuntos!E14)/NºAsuntos!G14," - ")</f>
        <v>1.8668791600262491</v>
      </c>
      <c r="AP14" s="1174" t="str">
        <f t="shared" si="2"/>
        <v xml:space="preserve"> - </v>
      </c>
      <c r="AQ14" s="1174">
        <f>IF(ISNUMBER((H14-W14+K14)/(F14)),(H14-W14+K14)/(F14)," - ")</f>
        <v>-1.8571428571428572</v>
      </c>
      <c r="AR14" s="1175">
        <f>IF(ISNUMBER((Datos!P14-Datos!Q14)/(Datos!R14-Datos!P14+Datos!Q14)),(Datos!P14-Datos!Q14)/(Datos!R14-Datos!P14+Datos!Q14)," - ")</f>
        <v>0.11538049876913196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2862</v>
      </c>
      <c r="G16" s="373">
        <f>IF(ISNUMBER(IF(D_I="SI",Datos!I16,Datos!I16+Datos!AC16)),IF(D_I="SI",Datos!I16,Datos!I16+Datos!AC16)," - ")</f>
        <v>2856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421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11506</v>
      </c>
      <c r="X16" s="240">
        <f>IF(ISNUMBER(Datos!Q16),Datos!Q16," - ")</f>
        <v>349</v>
      </c>
      <c r="Y16" s="374">
        <f>SUM(W16)</f>
        <v>11506</v>
      </c>
      <c r="Z16" s="375" t="str">
        <f>IF(ISNUMBER(Datos!CC16),Datos!CC16," - ")</f>
        <v xml:space="preserve"> - </v>
      </c>
      <c r="AA16" s="372">
        <f>IF(ISNUMBER(IF(D_I="SI",Datos!L16,Datos!L16+Datos!AF16)),IF(D_I="SI",Datos!L16,Datos!L16+Datos!AF16)," - ")</f>
        <v>2613</v>
      </c>
      <c r="AB16" s="374">
        <f>IF(ISNUMBER(Datos!R16),Datos!R16," - ")</f>
        <v>360</v>
      </c>
      <c r="AC16" s="374">
        <f t="shared" ref="AC16:AC22" si="8">IF(ISNUMBER(AA16+AB16),AA16+AB16," - ")</f>
        <v>2973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1390</v>
      </c>
      <c r="AJ16" s="245" t="str">
        <f>IF(ISNUMBER(Datos!BW16),Datos!BW16," - ")</f>
        <v xml:space="preserve"> - </v>
      </c>
      <c r="AK16" s="246" t="str">
        <f>IF(ISNUMBER(Datos!BX16),Datos!BX16," - ")</f>
        <v xml:space="preserve"> - </v>
      </c>
      <c r="AL16" s="266">
        <f>IF(ISNUMBER(NºAsuntos!G16/NºAsuntos!E16),NºAsuntos!G16/NºAsuntos!E16," - ")</f>
        <v>1.0221195700453052</v>
      </c>
      <c r="AM16" s="284">
        <f>IF(ISNUMBER(((NºAsuntos!I16/NºAsuntos!G16)*11)/factor_trimestre),((NºAsuntos!I16/NºAsuntos!G16)*11)/factor_trimestre," - ")</f>
        <v>2.4980879541108987</v>
      </c>
      <c r="AN16" s="267">
        <f>IF(ISNUMBER('Resol  Asuntos'!D16/NºAsuntos!G16),'Resol  Asuntos'!D16/NºAsuntos!G16," - ")</f>
        <v>0.12080653572049366</v>
      </c>
      <c r="AO16" s="268">
        <f>IF(ISNUMBER((NºAsuntos!C16+NºAsuntos!E16)/NºAsuntos!G16),(NºAsuntos!C16+NºAsuntos!E16)/NºAsuntos!G16," - ")</f>
        <v>1.2265774378585086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9</v>
      </c>
      <c r="AB17" s="374">
        <f>IF(ISNUMBER(Datos!R17),Datos!R17," - ")</f>
        <v>2</v>
      </c>
      <c r="AC17" s="374">
        <f t="shared" si="8"/>
        <v>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99</v>
      </c>
      <c r="AN17" s="267">
        <f>IF(ISNUMBER('Resol  Asuntos'!D17/NºAsuntos!G17),'Resol  Asuntos'!D17/NºAsuntos!G17," - ")</f>
        <v>0</v>
      </c>
      <c r="AO17" s="268">
        <f>IF(ISNUMBER((NºAsuntos!C17+NºAsuntos!E17)/NºAsuntos!G17),(NºAsuntos!C17+NºAsuntos!E17)/NºAsuntos!G17," - ")</f>
        <v>10</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1009</v>
      </c>
      <c r="X18" s="240">
        <f>IF(ISNUMBER(Datos!Q18),Datos!Q18," - ")</f>
        <v>51</v>
      </c>
      <c r="Y18" s="374">
        <f t="shared" si="9"/>
        <v>1060</v>
      </c>
      <c r="Z18" s="375" t="str">
        <f>IF(ISNUMBER(Datos!CC18),Datos!CC18," - ")</f>
        <v xml:space="preserve"> - </v>
      </c>
      <c r="AA18" s="372">
        <f>IF(ISNUMBER(Datos!L18),Datos!L18,"-")</f>
        <v>159</v>
      </c>
      <c r="AB18" s="374">
        <f>IF(ISNUMBER(Datos!R18),Datos!R18," - ")</f>
        <v>37</v>
      </c>
      <c r="AC18" s="374">
        <f t="shared" si="8"/>
        <v>196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247</v>
      </c>
      <c r="AJ18" s="245" t="str">
        <f>IF(ISNUMBER(Datos!BW18),Datos!BW18," - ")</f>
        <v xml:space="preserve"> - </v>
      </c>
      <c r="AK18" s="246" t="str">
        <f>IF(ISNUMBER(Datos!BX18),Datos!BX18," - ")</f>
        <v xml:space="preserve"> - </v>
      </c>
      <c r="AL18" s="266">
        <f>IF(ISNUMBER(NºAsuntos!G18/NºAsuntos!E18),NºAsuntos!G18/NºAsuntos!E18," - ")</f>
        <v>0.93512511584800739</v>
      </c>
      <c r="AM18" s="284">
        <f>IF(ISNUMBER(((NºAsuntos!I18/NºAsuntos!G18)*11)/factor_trimestre),((NºAsuntos!I18/NºAsuntos!G18)*11)/factor_trimestre," - ")</f>
        <v>1.7333994053518336</v>
      </c>
      <c r="AN18" s="267">
        <f>IF(ISNUMBER('Resol  Asuntos'!D18/NºAsuntos!G18),'Resol  Asuntos'!D18/NºAsuntos!G18," - ")</f>
        <v>0.24479682854311199</v>
      </c>
      <c r="AO18" s="268">
        <f>IF(ISNUMBER((NºAsuntos!C18+NºAsuntos!E18)/NºAsuntos!G18),(NºAsuntos!C18+NºAsuntos!E18)/NºAsuntos!G18," - ")</f>
        <v>1.1883052527254707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2872</v>
      </c>
      <c r="G23" s="1163">
        <f>SUBTOTAL(9,G16:G22)</f>
        <v>2986</v>
      </c>
      <c r="H23" s="1162">
        <f t="shared" ref="H23:O23" si="13">SUBTOTAL(9,H15:H22)</f>
        <v>0</v>
      </c>
      <c r="I23" s="1164">
        <f t="shared" si="13"/>
        <v>0</v>
      </c>
      <c r="J23" s="1164">
        <f t="shared" si="13"/>
        <v>0</v>
      </c>
      <c r="K23" s="1164">
        <f t="shared" si="13"/>
        <v>0</v>
      </c>
      <c r="L23" s="1164">
        <f t="shared" si="13"/>
        <v>479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12516</v>
      </c>
      <c r="X23" s="1164">
        <f t="shared" si="14"/>
        <v>400</v>
      </c>
      <c r="Y23" s="1165">
        <f t="shared" si="14"/>
        <v>12567</v>
      </c>
      <c r="Z23" s="1165">
        <f t="shared" si="14"/>
        <v>0</v>
      </c>
      <c r="AA23" s="1165">
        <f t="shared" si="14"/>
        <v>2781</v>
      </c>
      <c r="AB23" s="1165">
        <f t="shared" si="14"/>
        <v>399</v>
      </c>
      <c r="AC23" s="1165">
        <f t="shared" si="14"/>
        <v>3180</v>
      </c>
      <c r="AD23" s="1165">
        <f t="shared" si="14"/>
        <v>0</v>
      </c>
      <c r="AE23" s="1169">
        <f t="shared" si="14"/>
        <v>0</v>
      </c>
      <c r="AF23" s="1162">
        <f t="shared" si="14"/>
        <v>0</v>
      </c>
      <c r="AG23" s="1170">
        <f t="shared" si="14"/>
        <v>0</v>
      </c>
      <c r="AH23" s="1167">
        <f t="shared" si="14"/>
        <v>0</v>
      </c>
      <c r="AI23" s="1162">
        <f t="shared" si="14"/>
        <v>1637</v>
      </c>
      <c r="AJ23" s="1164">
        <f t="shared" si="14"/>
        <v>0</v>
      </c>
      <c r="AK23" s="1167">
        <f t="shared" si="14"/>
        <v>0</v>
      </c>
      <c r="AL23" s="1171">
        <f>IF(ISNUMBER(NºAsuntos!G23/NºAsuntos!E23),NºAsuntos!G23/NºAsuntos!E23," - ")</f>
        <v>1.0145914396887159</v>
      </c>
      <c r="AM23" s="1171">
        <f>IF(ISNUMBER(((NºAsuntos!I23/NºAsuntos!G23)*11)/factor_trimestre),((NºAsuntos!I23/NºAsuntos!G23)*11)/factor_trimestre," - ")</f>
        <v>2.4441514860977946</v>
      </c>
      <c r="AN23" s="1172">
        <f>IF(ISNUMBER('Resol  Asuntos'!D23/NºAsuntos!G23),'Resol  Asuntos'!D23/NºAsuntos!G23," - ")</f>
        <v>0.13079258549057207</v>
      </c>
      <c r="AO23" s="1173">
        <f>IF(ISNUMBER((NºAsuntos!C23+NºAsuntos!E23)/NºAsuntos!G23),(NºAsuntos!C23+NºAsuntos!E23)/NºAsuntos!G23," - ")</f>
        <v>1.2241930329178652</v>
      </c>
      <c r="AP23" s="1174" t="str">
        <f t="shared" si="2"/>
        <v xml:space="preserve"> - </v>
      </c>
      <c r="AQ23" s="1174">
        <f>IF(ISNUMBER((H23-W23+K23)/(F23)),(H23-W23+K23)/(F23)," - ")</f>
        <v>-4.357938718662953</v>
      </c>
      <c r="AR23" s="1175">
        <f>IF(ISNUMBER((Datos!P23-Datos!Q23)/(Datos!R23-Datos!P23+Datos!Q23)),(Datos!P23-Datos!Q23)/(Datos!R23-Datos!P23+Datos!Q23)," - ")</f>
        <v>0.24687500000000001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2949</v>
      </c>
      <c r="G31" s="1118">
        <f t="shared" si="20"/>
        <v>3063</v>
      </c>
      <c r="H31" s="1117">
        <f t="shared" si="20"/>
        <v>0</v>
      </c>
      <c r="I31" s="1119">
        <f t="shared" si="20"/>
        <v>0</v>
      </c>
      <c r="J31" s="1119">
        <f t="shared" si="20"/>
        <v>0</v>
      </c>
      <c r="K31" s="1180">
        <f t="shared" si="20"/>
        <v>0</v>
      </c>
      <c r="L31" s="1119">
        <f t="shared" si="20"/>
        <v>2567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12659</v>
      </c>
      <c r="X31" s="1118">
        <f t="shared" si="21"/>
        <v>1410</v>
      </c>
      <c r="Y31" s="1125">
        <f t="shared" si="21"/>
        <v>13720</v>
      </c>
      <c r="Z31" s="1125">
        <f t="shared" si="21"/>
        <v>0</v>
      </c>
      <c r="AA31" s="1125">
        <f t="shared" si="21"/>
        <v>2869</v>
      </c>
      <c r="AB31" s="1125">
        <f t="shared" si="21"/>
        <v>10820</v>
      </c>
      <c r="AC31" s="1125">
        <f t="shared" si="21"/>
        <v>3313</v>
      </c>
      <c r="AD31" s="1125">
        <f t="shared" si="21"/>
        <v>0</v>
      </c>
      <c r="AE31" s="1127">
        <f t="shared" si="21"/>
        <v>0</v>
      </c>
      <c r="AF31" s="1128">
        <f t="shared" si="21"/>
        <v>0</v>
      </c>
      <c r="AG31" s="1129">
        <f t="shared" si="21"/>
        <v>0</v>
      </c>
      <c r="AH31" s="1127">
        <f t="shared" si="21"/>
        <v>0</v>
      </c>
      <c r="AI31" s="1117">
        <f t="shared" si="21"/>
        <v>3730</v>
      </c>
      <c r="AJ31" s="1117">
        <f t="shared" si="21"/>
        <v>0</v>
      </c>
      <c r="AK31" s="1127">
        <f t="shared" si="21"/>
        <v>0</v>
      </c>
      <c r="AL31" s="1183">
        <f>IF(ISNUMBER(NºAsuntos!G31/NºAsuntos!E31),NºAsuntos!G31/NºAsuntos!E31," - ")</f>
        <v>0.9535620269825601</v>
      </c>
      <c r="AM31" s="1184">
        <f>IF(ISNUMBER(((NºAsuntos!I31/NºAsuntos!G31)*11)/factor_trimestre),((NºAsuntos!I31/NºAsuntos!G31)*11)/factor_trimestre," - ")</f>
        <v>5.5714100849760602</v>
      </c>
      <c r="AN31" s="1184">
        <f>IF(ISNUMBER('Resol  Asuntos'!D31/NºAsuntos!G31),'Resol  Asuntos'!D31/NºAsuntos!G31," - ")</f>
        <v>0.16089375835741707</v>
      </c>
      <c r="AO31" s="1185">
        <f>IF(ISNUMBER((NºAsuntos!C31+NºAsuntos!E31)/NºAsuntos!G31),(NºAsuntos!C31+NºAsuntos!E31)/NºAsuntos!G31," - ")</f>
        <v>1.5199068282793426</v>
      </c>
      <c r="AP31" s="1186" t="str">
        <f t="shared" si="2"/>
        <v xml:space="preserve"> - </v>
      </c>
      <c r="AQ31" s="1187">
        <f>IF(OR(ISNUMBER(FIND("01",Criterios!A8,1)),ISNUMBER(FIND("02",Criterios!A8,1)),ISNUMBER(FIND("03",Criterios!A8,1)),ISNUMBER(FIND("04",Criterios!A8,1))),(I31-W31+K31)/(F31-K31),(H31-W31+K31)/(F31-K31))</f>
        <v>-4.2926415734147172</v>
      </c>
      <c r="AR31" s="1188">
        <f>IF(ISNUMBER((Datos!P31-Datos!Q31)/(Datos!R31-Datos!P31+Datos!Q31)),(Datos!P31-Datos!Q31)/(Datos!R31-Datos!P31+Datos!Q31)," - ")</f>
        <v>0.11973507192383318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765.75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1.928548222268252</v>
      </c>
      <c r="F33" s="276">
        <f>IF(ISNUMBER(STDEV(F8:F30)),STDEV(F8:F30),"-")</f>
        <v>1383.347372275291</v>
      </c>
      <c r="G33" s="277">
        <f>IF(ISNUMBER(STDEV(G8:G30)),STDEV(G8:G30),"-")</f>
        <v>1331.3959108501765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5476.8621295148823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923.56146399564432</v>
      </c>
      <c r="AJ33" s="276">
        <f t="shared" si="25"/>
        <v>0</v>
      </c>
      <c r="AK33" s="278">
        <f t="shared" si="25"/>
        <v>0</v>
      </c>
      <c r="AL33" s="273">
        <f t="shared" si="25"/>
        <v>5.8558450578620219E-2</v>
      </c>
      <c r="AM33" s="274">
        <f t="shared" si="25"/>
        <v>33.026795634354784</v>
      </c>
      <c r="AN33" s="274">
        <f t="shared" si="25"/>
        <v>0.11415391241027714</v>
      </c>
      <c r="AO33" s="275">
        <f t="shared" si="25"/>
        <v>2.9982599301714803</v>
      </c>
      <c r="AP33" s="317" t="str">
        <f t="shared" si="25"/>
        <v>-</v>
      </c>
      <c r="AQ33" s="318">
        <f t="shared" si="25"/>
        <v>1.7683297120441153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j+fI3FjHbLQq7riYlcitzn1Owo2YBKOi30XlMv/M9D6H1RkgvZ4p1+Wnrmei0mVUgysx0u7FeVXdZz7Lwd4iw==" saltValue="hVZDxjFitAOBuHTTtQJY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-4.3795620437956208E-3</v>
      </c>
      <c r="I9" s="395">
        <f>IF(ISNUMBER((Tasas!C9-Datos!BE9)/Datos!BE9),(Tasas!C9-Datos!BE9)/Datos!BE9," - ")</f>
        <v>2.8306630297560469E-2</v>
      </c>
      <c r="J9" s="394">
        <f>IF(ISNUMBER((Tasas!D9-Datos!BF9)/Datos!BF9),(Tasas!D9-Datos!BF9)/Datos!BF9," - ")</f>
        <v>-0.50912766156428579</v>
      </c>
      <c r="K9" s="396">
        <f>IF(ISNUMBER((Tasas!E9-Datos!BG9)/Datos!BG9),(Tasas!E9-Datos!BG9)/Datos!BG9," - ")</f>
        <v>2.7693851970756009E-2</v>
      </c>
      <c r="M9" t="e">
        <f>IF(Monitorios="SI",Datos!CE9,0)</f>
        <v>#REF!</v>
      </c>
      <c r="N9" t="e">
        <f>IF(Monitorios="SI",Datos!CF9,0)</f>
        <v>#REF!</v>
      </c>
      <c r="O9" t="e">
        <f>IF(Monitorios="SI",Datos!CG9,0)</f>
        <v>#REF!</v>
      </c>
      <c r="P9" t="e">
        <f>IF(Monitorios="SI",Datos!CH9,0)</f>
        <v>#REF!</v>
      </c>
      <c r="Q9">
        <f>IF(J_V="SI",0,Datos!AG9)</f>
        <v>128</v>
      </c>
      <c r="R9">
        <f>IF(J_V="SI",0,Datos!AH9)</f>
        <v>419</v>
      </c>
      <c r="S9">
        <f>IF(J_V="SI",0,Datos!AI9)</f>
        <v>374</v>
      </c>
      <c r="T9">
        <f>IF(J_V="SI",0,Datos!AJ9)</f>
        <v>173</v>
      </c>
    </row>
    <row r="10" spans="2:20" ht="14.25">
      <c r="B10" s="300" t="s">
        <v>321</v>
      </c>
      <c r="C10" s="7" t="str">
        <f>Datos!A10</f>
        <v>Jdos. Violencia contra la mujer</v>
      </c>
      <c r="D10" s="397">
        <f>IF(ISNUMBER((Datos!I10-Datos!S10)/Datos!S10),(Datos!I10-Datos!S10)/Datos!S10," - ")</f>
        <v>-0.1348314606741573</v>
      </c>
      <c r="E10" s="393">
        <f>IF(ISNUMBER((Datos!J10-Datos!T10)/Datos!T10),(Datos!J10-Datos!T10)/Datos!T10," - ")</f>
        <v>4.0540540540540543E-2</v>
      </c>
      <c r="F10" s="393">
        <f>IF(ISNUMBER((Datos!K10-Datos!U10)/Datos!U10),(Datos!K10-Datos!U10)/Datos!U10," - ")</f>
        <v>-4.0268456375838924E-2</v>
      </c>
      <c r="G10" s="394">
        <f>IF(ISNUMBER((Datos!L10-Datos!V10)/Datos!V10),(Datos!L10-Datos!V10)/Datos!V10," - ")</f>
        <v>0.14285714285714285</v>
      </c>
      <c r="H10" s="244">
        <f>IF(ISNUMBER((Datos!M10-Datos!W10)/Datos!W10),(Datos!M10-Datos!W10)/Datos!W10," - ")</f>
        <v>0</v>
      </c>
      <c r="I10" s="395">
        <f>IF(ISNUMBER((Tasas!C10-Datos!BE10)/Datos!BE10),(Tasas!C10-Datos!BE10)/Datos!BE10," - ")</f>
        <v>0.19080919080919082</v>
      </c>
      <c r="J10" s="394">
        <f>IF(ISNUMBER((Tasas!D10-Datos!BF10)/Datos!BF10),(Tasas!D10-Datos!BF10)/Datos!BF10," - ")</f>
        <v>4.1958041958041911E-2</v>
      </c>
      <c r="K10" s="396">
        <f>IF(ISNUMBER((Tasas!E10-Datos!BG10)/Datos!BG10),(Tasas!E10-Datos!BG10)/Datos!BG10," - ")</f>
        <v>1.5579357351509249E-2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-0.24999999999999994</v>
      </c>
      <c r="J12" s="394">
        <f>IF(ISNUMBER((Tasas!D12-Datos!BF12)/Datos!BF12),(Tasas!D12-Datos!BF12)/Datos!BF12," - ")</f>
        <v>-1</v>
      </c>
      <c r="K12" s="396">
        <f>IF(ISNUMBER((Tasas!E12-Datos!BG12)/Datos!BG12),(Tasas!E12-Datos!BG12)/Datos!BG12," - ")</f>
        <v>-0.1428571428571429</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-4.2816365366317791E-3</v>
      </c>
      <c r="I14" s="402">
        <f>IF(ISNUMBER((Tasas!C14-Datos!BE14)/Datos!BE14),(Tasas!C14-Datos!BE14)/Datos!BE14," - ")</f>
        <v>2.9924022357294515E-2</v>
      </c>
      <c r="J14" s="400">
        <f>IF(ISNUMBER((Tasas!D14-Datos!BF14)/Datos!BF14),(Tasas!D14-Datos!BF14)/Datos!BF14," - ")</f>
        <v>-0.5031118392304339</v>
      </c>
      <c r="K14" s="403">
        <f>IF(ISNUMBER((Tasas!E14-Datos!BG14)/Datos!BG14),(Tasas!E14-Datos!BG14)/Datos!BG14," - ")</f>
        <v>2.7570159231686899E-2</v>
      </c>
      <c r="M14" t="e">
        <f>IF(Monitorios="SI",Datos!CE14,0)</f>
        <v>#REF!</v>
      </c>
      <c r="N14" t="e">
        <f>IF(Monitorios="SI",Datos!CF14,0)</f>
        <v>#REF!</v>
      </c>
      <c r="O14" t="e">
        <f>IF(Monitorios="SI",Datos!CG14,0)</f>
        <v>#REF!</v>
      </c>
      <c r="P14" t="e">
        <f>IF(Monitorios="SI",Datos!CH14,0)</f>
        <v>#REF!</v>
      </c>
      <c r="Q14">
        <f>IF(J_V="SI",0,Datos!AG14)</f>
        <v>128</v>
      </c>
      <c r="R14">
        <f>IF(J_V="SI",0,Datos!AH14)</f>
        <v>419</v>
      </c>
      <c r="S14">
        <f>IF(J_V="SI",0,Datos!AI14)</f>
        <v>374</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-0.11633663366336634</v>
      </c>
      <c r="E16" s="393">
        <f>IF(ISNUMBER(
   IF(D_I="SI",(Datos!J16-Datos!T16)/Datos!T16,(Datos!J16+Datos!AD16-(Datos!T16+Datos!AL16))/(Datos!T16+Datos!AL16))
     ),IF(D_I="SI",(Datos!J16-Datos!T16)/Datos!T16,(Datos!J16+Datos!AD16-(Datos!T16+Datos!AL16))/(Datos!T16+Datos!AL16))," - ")</f>
        <v>2.317760407198691E-2</v>
      </c>
      <c r="F16" s="393">
        <f>IF(ISNUMBER(
   IF(D_I="SI",(Datos!K16-Datos!U16)/Datos!U16,(Datos!K16+Datos!AE16-(Datos!U16+Datos!AM16))/(Datos!U16+Datos!AM16))
     ),IF(D_I="SI",(Datos!K16-Datos!U16)/Datos!U16,(Datos!K16+Datos!AE16-(Datos!U16+Datos!AM16))/(Datos!U16+Datos!AM16))," - ")</f>
        <v>1.124978027772895E-2</v>
      </c>
      <c r="G16" s="394">
        <f>IF(ISNUMBER(
   IF(D_I="SI",(Datos!L16-Datos!V16)/Datos!V16,(Datos!L16+Datos!AF16-(Datos!V16+Datos!AN16))/(Datos!V16+Datos!AN16))
     ),IF(D_I="SI",(Datos!L16-Datos!V16)/Datos!V16,(Datos!L16+Datos!AF16-(Datos!V16+Datos!AN16))/(Datos!V16+Datos!AN16))," - ")</f>
        <v>-8.5084033613445381E-2</v>
      </c>
      <c r="H16" s="244">
        <f>IF(ISNUMBER((Datos!M16-Datos!W16)/Datos!W16),(Datos!M16-Datos!W16)/Datos!W16," - ")</f>
        <v>2.0558002936857563E-2</v>
      </c>
      <c r="I16" s="395">
        <f>IF(ISNUMBER((Tasas!C16-Datos!BE16)/Datos!BE16),(Tasas!C16-Datos!BE16)/Datos!BE16," - ")</f>
        <v>-9.5262135794696751E-2</v>
      </c>
      <c r="J16" s="394">
        <f>IF(ISNUMBER((Tasas!D16-Datos!BF16)/Datos!BF16),(Tasas!D16-Datos!BF16)/Datos!BF16," - ")</f>
        <v>9.2046721202472728E-3</v>
      </c>
      <c r="K16" s="396">
        <f>IF(ISNUMBER((Tasas!E16-Datos!BG16)/Datos!BG16),(Tasas!E16-Datos!BG16)/Datos!BG16," - ")</f>
        <v>-1.9530835467604975E-2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-0.23076923076923078</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-0.75</v>
      </c>
      <c r="G17" s="394">
        <f>IF(ISNUMBER(
   IF(D_I="SI",(Datos!L17-Datos!V17)/Datos!V17,(Datos!L17+Datos!AF17-(Datos!V17+Datos!AN17))/(Datos!V17+Datos!AN17))
     ),IF(D_I="SI",(Datos!L17-Datos!V17)/Datos!V17,(Datos!L17+Datos!AF17-(Datos!V17+Datos!AN17))/(Datos!V17+Datos!AN17))," - ")</f>
        <v>-0.1</v>
      </c>
      <c r="H17" s="244" t="str">
        <f>IF(ISNUMBER((Datos!M17-Datos!W17)/Datos!W17),(Datos!M17-Datos!W17)/Datos!W17," - ")</f>
        <v xml:space="preserve"> - </v>
      </c>
      <c r="I17" s="395">
        <f>IF(ISNUMBER((Tasas!C17-Datos!BE17)/Datos!BE17),(Tasas!C17-Datos!BE17)/Datos!BE17," - ")</f>
        <v>2.6</v>
      </c>
      <c r="J17" s="394" t="str">
        <f>IF(ISNUMBER((Tasas!D17-Datos!BF17)/Datos!BF17),(Tasas!D17-Datos!BF17)/Datos!BF17," - ")</f>
        <v xml:space="preserve"> - </v>
      </c>
      <c r="K17" s="396">
        <f>IF(ISNUMBER((Tasas!E17-Datos!BG17)/Datos!BG17),(Tasas!E17-Datos!BG17)/Datos!BG17," - ")</f>
        <v>2.0769230769230771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0.26315789473684209</v>
      </c>
      <c r="E18" s="393">
        <f>IF(ISNUMBER(
   IF(D_I="SI",(Datos!J18-Datos!T18)/Datos!T18,(Datos!J18+Datos!AD18-(Datos!T18+Datos!AL18))/(Datos!T18+Datos!AL18))
     ),IF(D_I="SI",(Datos!J18-Datos!T18)/Datos!T18,(Datos!J18+Datos!AD18-(Datos!T18+Datos!AL18))/(Datos!T18+Datos!AL18))," - ")</f>
        <v>0.17923497267759564</v>
      </c>
      <c r="F18" s="393">
        <f>IF(ISNUMBER(
   IF(D_I="SI",(Datos!K18-Datos!U18)/Datos!U18,(Datos!K18+Datos!AE18-(Datos!U18+Datos!AM18))/(Datos!U18+Datos!AM18))
     ),IF(D_I="SI",(Datos!K18-Datos!U18)/Datos!U18,(Datos!K18+Datos!AE18-(Datos!U18+Datos!AM18))/(Datos!U18+Datos!AM18))," - ")</f>
        <v>0.11123348017621146</v>
      </c>
      <c r="G18" s="394">
        <f>IF(ISNUMBER(
   IF(D_I="SI",(Datos!L18-Datos!V18)/Datos!V18,(Datos!L18+Datos!AF18-(Datos!V18+Datos!AN18))/(Datos!V18+Datos!AN18))
     ),IF(D_I="SI",(Datos!L18-Datos!V18)/Datos!V18,(Datos!L18+Datos!AF18-(Datos!V18+Datos!AN18))/(Datos!V18+Datos!AN18))," - ")</f>
        <v>0.32500000000000001</v>
      </c>
      <c r="H18" s="244">
        <f>IF(ISNUMBER((Datos!M18-Datos!W18)/Datos!W18),(Datos!M18-Datos!W18)/Datos!W18," - ")</f>
        <v>2.4896265560165973E-2</v>
      </c>
      <c r="I18" s="395">
        <f>IF(ISNUMBER((Tasas!C18-Datos!BE18)/Datos!BE18),(Tasas!C18-Datos!BE18)/Datos!BE18," - ")</f>
        <v>0.19236868186323094</v>
      </c>
      <c r="J18" s="394">
        <f>IF(ISNUMBER((Tasas!D18-Datos!BF18)/Datos!BF18),(Tasas!D18-Datos!BF18)/Datos!BF18," - ")</f>
        <v>-7.7694936443378909E-2</v>
      </c>
      <c r="K18" s="396">
        <f>IF(ISNUMBER((Tasas!E18-Datos!BG18)/Datos!BG18),(Tasas!E18-Datos!BG18)/Datos!BG18," - ")</f>
        <v>6.8298187598739915E-2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-0.10598802395209581</v>
      </c>
      <c r="E23" s="399">
        <f>IF(ISNUMBER(
   IF(D_I="SI",(Datos!J23-Datos!T23)/Datos!T23,(Datos!J23+Datos!AD23-(Datos!T23+Datos!AL23))/(Datos!T23+Datos!AL23))
     ),IF(D_I="SI",(Datos!J23-Datos!T23)/Datos!T23,(Datos!J23+Datos!AD23-(Datos!T23+Datos!AL23))/(Datos!T23+Datos!AL23))," - ")</f>
        <v>3.5159855668372909E-2</v>
      </c>
      <c r="F23" s="399">
        <f>IF(ISNUMBER(
   IF(D_I="SI",(Datos!K23-Datos!U23)/Datos!U23,(Datos!K23+Datos!AE23-(Datos!U23+Datos!AM23))/(Datos!U23+Datos!AM23))
     ),IF(D_I="SI",(Datos!K23-Datos!U23)/Datos!U23,(Datos!K23+Datos!AE23-(Datos!U23+Datos!AM23))/(Datos!U23+Datos!AM23))," - ")</f>
        <v>1.8388934092758342E-2</v>
      </c>
      <c r="G23" s="400">
        <f>IF(ISNUMBER(
   IF(D_I="SI",(Datos!L23-Datos!V23)/Datos!V23,(Datos!L23+Datos!AF23-(Datos!V23+Datos!AN23))/(Datos!V23+Datos!AN23))
     ),IF(D_I="SI",(Datos!L23-Datos!V23)/Datos!V23,(Datos!L23+Datos!AF23-(Datos!V23+Datos!AN23))/(Datos!V23+Datos!AN23))," - ")</f>
        <v>-6.865371734762224E-2</v>
      </c>
      <c r="H23" s="401">
        <f>IF(ISNUMBER((Datos!M23-Datos!W23)/Datos!W23),(Datos!M23-Datos!W23)/Datos!W23," - ")</f>
        <v>2.1210230817217717E-2</v>
      </c>
      <c r="I23" s="402">
        <f>IF(ISNUMBER((Tasas!C23-Datos!BE23)/Datos!BE23),(Tasas!C23-Datos!BE23)/Datos!BE23," - ")</f>
        <v>-8.54709321030903E-2</v>
      </c>
      <c r="J23" s="400">
        <f>IF(ISNUMBER((Tasas!D23-Datos!BF23)/Datos!BF23),(Tasas!D23-Datos!BF23)/Datos!BF23," - ")</f>
        <v>2.770352887792202E-3</v>
      </c>
      <c r="K23" s="403">
        <f>IF(ISNUMBER((Tasas!E23-Datos!BG23)/Datos!BG23),(Tasas!E23-Datos!BG23)/Datos!BG23," - ")</f>
        <v>-1.3873476138129226E-2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9.0546071678147155E-2</v>
      </c>
      <c r="E31" s="409">
        <f>IF(ISNUMBER(
   IF(J_V="SI",(Datos!J31-Datos!T31)/Datos!T31,(Datos!J31+Datos!Z31-(Datos!T31+Datos!AH31))/(Datos!T31+Datos!AH31))
     ),IF(J_V="SI",(Datos!J31-Datos!T31)/Datos!T31,(Datos!J31+Datos!Z31-(Datos!T31+Datos!AH31))/(Datos!T31+Datos!AH31))," - ")</f>
        <v>6.0686706513677413E-2</v>
      </c>
      <c r="F31" s="409">
        <f>IF(ISNUMBER(
   IF(J_V="SI",(Datos!K31-Datos!U31)/Datos!U31,(Datos!K31+Datos!AA31-(Datos!U31+Datos!AI31))/(Datos!U31+Datos!AI31))
     ),IF(J_V="SI",(Datos!K31-Datos!U31)/Datos!U31,(Datos!K31+Datos!AA31-(Datos!U31+Datos!AI31))/(Datos!U31+Datos!AI31))," - ")</f>
        <v>5.2720007265461812E-2</v>
      </c>
      <c r="G31" s="410">
        <f>IF(ISNUMBER(
   IF(J_V="SI",(Datos!L31-Datos!V31)/Datos!V31,(Datos!L31+Datos!AB31-(Datos!V31+Datos!AJ31))/(Datos!V31+Datos!AJ31))
     ),IF(J_V="SI",(Datos!L31-Datos!V31)/Datos!V31,(Datos!L31+Datos!AB31-(Datos!V31+Datos!AJ31))/(Datos!V31+Datos!AJ31))," - ")</f>
        <v>7.4880995972171363E-2</v>
      </c>
      <c r="H31" s="411">
        <f>IF(ISNUMBER((Datos!M31-Datos!W31)/Datos!W31),(Datos!M31-Datos!W31)/Datos!W31," - ")</f>
        <v>6.7476383265856954E-3</v>
      </c>
      <c r="I31" s="408">
        <f>IF(ISNUMBER((Tasas!C31-Datos!BE31)/Datos!BE31),(Tasas!C31-Datos!BE31)/Datos!BE31," - ")</f>
        <v>2.1051170827725452E-2</v>
      </c>
      <c r="J31" s="409">
        <f>IF(ISNUMBER((Tasas!D31-Datos!BF31)/Datos!BF31),(Tasas!D31-Datos!BF31)/Datos!BF31," - ")</f>
        <v>-0.34939361980406936</v>
      </c>
      <c r="K31" s="410">
        <f>IF(ISNUMBER((Tasas!E31-Datos!BG31)/Datos!BG31),(Tasas!E31-Datos!BG31)/Datos!BG31," - ")</f>
        <v>1.6193702482472563E-2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0.18997297958901352</v>
      </c>
      <c r="E33" s="303">
        <f t="shared" si="1"/>
        <v>7.3496986802732228E-2</v>
      </c>
      <c r="F33" s="303">
        <f t="shared" si="1"/>
        <v>0.35093305813532205</v>
      </c>
      <c r="G33" s="304">
        <f t="shared" si="1"/>
        <v>0.18629034204011907</v>
      </c>
      <c r="H33" s="310">
        <f t="shared" si="1"/>
        <v>1.3922010683601245E-2</v>
      </c>
      <c r="I33" s="302">
        <f t="shared" si="1"/>
        <v>0.93059408300286106</v>
      </c>
      <c r="J33" s="303">
        <f t="shared" si="1"/>
        <v>0.39328444749684394</v>
      </c>
      <c r="K33" s="304">
        <f t="shared" si="1"/>
        <v>0.73881433522928541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GeGzMtwQG90yCmxfn+9QWWfEovBAhH0k+/Ryj18xD0B001IZVmj/K4P0Pu1fr7dN9rmcBcM45SNNRRQN0w87A==" saltValue="0tmZn+syBPv3hELRU0BN7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